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00073\Downloads\"/>
    </mc:Choice>
  </mc:AlternateContent>
  <bookViews>
    <workbookView xWindow="28680" yWindow="-5340" windowWidth="38640" windowHeight="21240"/>
  </bookViews>
  <sheets>
    <sheet name="Indsatsen" sheetId="6" r:id="rId1"/>
    <sheet name="Generelle antagelser" sheetId="4" r:id="rId2"/>
    <sheet name="Input" sheetId="7" r:id="rId3"/>
    <sheet name="Resultater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G22" i="8"/>
  <c r="E23" i="8"/>
  <c r="E22" i="8"/>
  <c r="C63" i="8"/>
  <c r="C62" i="8"/>
  <c r="C61" i="8"/>
  <c r="C60" i="8"/>
  <c r="E20" i="8"/>
  <c r="G19" i="8"/>
  <c r="E19" i="8"/>
  <c r="E21" i="8" s="1"/>
  <c r="E16" i="8"/>
  <c r="E11" i="8"/>
  <c r="E9" i="8"/>
  <c r="E8" i="8"/>
  <c r="E7" i="8"/>
  <c r="E6" i="8"/>
  <c r="E12" i="8" s="1"/>
  <c r="E30" i="7"/>
  <c r="E28" i="7"/>
  <c r="D26" i="7"/>
  <c r="D24" i="7"/>
  <c r="D19" i="4"/>
  <c r="D25" i="4"/>
  <c r="D31" i="4"/>
  <c r="D37" i="4"/>
  <c r="B49" i="8"/>
  <c r="B48" i="8"/>
  <c r="B47" i="8"/>
  <c r="E13" i="8" l="1"/>
  <c r="D27" i="4"/>
  <c r="D12" i="4"/>
  <c r="D13" i="4" s="1"/>
  <c r="D21" i="4"/>
  <c r="D39" i="4"/>
  <c r="D33" i="4"/>
  <c r="D34" i="4" s="1"/>
  <c r="D15" i="4"/>
  <c r="D14" i="7"/>
  <c r="D12" i="7"/>
  <c r="D10" i="7"/>
  <c r="D8" i="7"/>
  <c r="D28" i="4" l="1"/>
  <c r="D40" i="4"/>
  <c r="D16" i="4"/>
  <c r="D22" i="4"/>
  <c r="G17" i="8" l="1"/>
  <c r="G20" i="8" l="1"/>
  <c r="G21" i="8" s="1"/>
  <c r="F43" i="8"/>
  <c r="H43" i="8" s="1"/>
  <c r="F40" i="8" l="1"/>
  <c r="H40" i="8" s="1"/>
  <c r="F42" i="8"/>
  <c r="H42" i="8" s="1"/>
  <c r="F41" i="8"/>
  <c r="E26" i="8"/>
  <c r="F49" i="8"/>
  <c r="H49" i="8" s="1"/>
  <c r="F34" i="8"/>
  <c r="G34" i="8" s="1"/>
  <c r="F48" i="8"/>
  <c r="H48" i="8" s="1"/>
  <c r="H17" i="8"/>
  <c r="H16" i="8"/>
  <c r="F47" i="8"/>
  <c r="H47" i="8" s="1"/>
  <c r="H19" i="8"/>
  <c r="H6" i="8"/>
  <c r="H9" i="8"/>
  <c r="H8" i="8"/>
  <c r="H11" i="8"/>
  <c r="H7" i="8"/>
  <c r="C43" i="8"/>
  <c r="C42" i="8"/>
  <c r="E42" i="8" s="1"/>
  <c r="C40" i="8"/>
  <c r="C41" i="8"/>
  <c r="F17" i="8"/>
  <c r="C49" i="8"/>
  <c r="E49" i="8" s="1"/>
  <c r="C48" i="8"/>
  <c r="E48" i="8" s="1"/>
  <c r="F19" i="8"/>
  <c r="C47" i="8"/>
  <c r="F16" i="8"/>
  <c r="C34" i="8"/>
  <c r="D62" i="8"/>
  <c r="G40" i="8"/>
  <c r="G42" i="8"/>
  <c r="G43" i="8"/>
  <c r="H41" i="8" l="1"/>
  <c r="G41" i="8"/>
  <c r="H34" i="8"/>
  <c r="D41" i="8"/>
  <c r="G48" i="8"/>
  <c r="E40" i="8"/>
  <c r="D43" i="8"/>
  <c r="E43" i="8"/>
  <c r="D42" i="8"/>
  <c r="E47" i="8"/>
  <c r="C33" i="8"/>
  <c r="C35" i="8"/>
  <c r="C36" i="8"/>
  <c r="E34" i="8"/>
  <c r="D34" i="8"/>
  <c r="E41" i="8"/>
  <c r="D40" i="8"/>
  <c r="D63" i="8"/>
  <c r="D61" i="8"/>
  <c r="D60" i="8"/>
  <c r="G47" i="8"/>
  <c r="G49" i="8"/>
  <c r="J14" i="6"/>
  <c r="J15" i="6" s="1"/>
  <c r="D15" i="6"/>
  <c r="E15" i="6"/>
  <c r="F15" i="6"/>
  <c r="C15" i="6"/>
  <c r="E36" i="8" l="1"/>
  <c r="D36" i="8"/>
  <c r="E35" i="8"/>
  <c r="D35" i="8"/>
  <c r="E33" i="8"/>
  <c r="D33" i="8"/>
  <c r="D48" i="8" l="1"/>
  <c r="D47" i="8"/>
  <c r="F35" i="8"/>
  <c r="F36" i="8"/>
  <c r="F33" i="8"/>
  <c r="D49" i="8"/>
  <c r="H33" i="8" l="1"/>
  <c r="H35" i="8"/>
  <c r="G35" i="8"/>
  <c r="G33" i="8"/>
  <c r="H36" i="8"/>
  <c r="G36" i="8"/>
</calcChain>
</file>

<file path=xl/sharedStrings.xml><?xml version="1.0" encoding="utf-8"?>
<sst xmlns="http://schemas.openxmlformats.org/spreadsheetml/2006/main" count="228" uniqueCount="83">
  <si>
    <t>Beskrivelse af indsatsen</t>
  </si>
  <si>
    <t>Efterår 2022</t>
  </si>
  <si>
    <t>FAKTISK ANTAL MEDARBEJDERE/BEHANDLERE</t>
  </si>
  <si>
    <t>Antal medarbejdere</t>
  </si>
  <si>
    <t>Gennemsnitligt antal medarbejdere</t>
  </si>
  <si>
    <t>ANTAGELSER</t>
  </si>
  <si>
    <t>Antagelser</t>
  </si>
  <si>
    <t>enhed</t>
  </si>
  <si>
    <t>Bemærk/Kilde</t>
  </si>
  <si>
    <t>Prisniveau</t>
  </si>
  <si>
    <t>årstal</t>
  </si>
  <si>
    <t>pct.</t>
  </si>
  <si>
    <t>Effektiv årsnorm</t>
  </si>
  <si>
    <t>timer/år</t>
  </si>
  <si>
    <t>Årsnorm</t>
  </si>
  <si>
    <t>kr./time</t>
  </si>
  <si>
    <t>Gns. timeløn inkl. overhead</t>
  </si>
  <si>
    <t>INPUT</t>
  </si>
  <si>
    <t>RESSOURCEFORBRUG TIL DRIFT AF INDSATSEN</t>
  </si>
  <si>
    <t>Ressourcer til etablering af indsatsen</t>
  </si>
  <si>
    <t>Timer i indsatsen</t>
  </si>
  <si>
    <t>timer</t>
  </si>
  <si>
    <t>Ressourceforbrug til drift af indsatsen/uge</t>
  </si>
  <si>
    <t xml:space="preserve">Øvrige udgifter </t>
  </si>
  <si>
    <t>kr.</t>
  </si>
  <si>
    <t>Supervision</t>
  </si>
  <si>
    <t xml:space="preserve">SAMLEDE OMKOSTNINGER </t>
  </si>
  <si>
    <t>Driftsomkostninger</t>
  </si>
  <si>
    <t xml:space="preserve">pct. </t>
  </si>
  <si>
    <t>Øvrige udgifter</t>
  </si>
  <si>
    <t>Lønudgifter i alt</t>
  </si>
  <si>
    <t>Driftsomkostninger i alt</t>
  </si>
  <si>
    <t>FØLSOMHEDSANALYSER</t>
  </si>
  <si>
    <t>Løn</t>
  </si>
  <si>
    <t>Gns. pr. år</t>
  </si>
  <si>
    <t>Etableringsomkostninger</t>
  </si>
  <si>
    <t>Omkostningsvurdering af Forebyggende kommunale indsatser til psykisk sårbare unge.</t>
  </si>
  <si>
    <t>Svendborg</t>
  </si>
  <si>
    <t>Ungerådgiver
Pædagog</t>
  </si>
  <si>
    <t>Ungerådgiver
Speciallærer</t>
  </si>
  <si>
    <t>Psykolog
5 års erfaring</t>
  </si>
  <si>
    <t>Psykolog
10 års erfaring</t>
  </si>
  <si>
    <t>timer pr. uge</t>
  </si>
  <si>
    <t>Afdelingsleder</t>
  </si>
  <si>
    <t>Uddannelse</t>
  </si>
  <si>
    <t>Indretning af lokaler</t>
  </si>
  <si>
    <t>Indkøb af IT-udstyr</t>
  </si>
  <si>
    <t>Hjemmeside</t>
  </si>
  <si>
    <t>Indkøb af eksterne gruppeforløb</t>
  </si>
  <si>
    <t>Timer pr. år</t>
  </si>
  <si>
    <t>Timer pr. uge</t>
  </si>
  <si>
    <t xml:space="preserve">kr. </t>
  </si>
  <si>
    <t>Gns. pr. år (afrundet)</t>
  </si>
  <si>
    <t>Etablering</t>
  </si>
  <si>
    <t>Etableringsomkostninger i alt</t>
  </si>
  <si>
    <t>Indsatsspor</t>
  </si>
  <si>
    <t>Rådgivningsspor</t>
  </si>
  <si>
    <t>Driftsudgifter</t>
  </si>
  <si>
    <t>Forløb</t>
  </si>
  <si>
    <t>Etablering (afrundet)</t>
  </si>
  <si>
    <t>Gns. pr. forløb</t>
  </si>
  <si>
    <t>Gns. pr. samtale</t>
  </si>
  <si>
    <t>ANTAL FORLØB</t>
  </si>
  <si>
    <t>ANTAL SAMTALER PR. FORLØB</t>
  </si>
  <si>
    <t>kr./mdr.</t>
  </si>
  <si>
    <t>KRL: 'Specialkonsulent' under Akademikere</t>
  </si>
  <si>
    <t>KRL: 'Andre chefer' under kategorien 'Chefer'</t>
  </si>
  <si>
    <t>KRL: 'Pæd. pers., forebyg. og dagbehandl. omr.'</t>
  </si>
  <si>
    <t>KRL: 'Psykologer' under kategorien 'Akademikere'</t>
  </si>
  <si>
    <t>kr./mdr</t>
  </si>
  <si>
    <t>Gns. månedsløn</t>
  </si>
  <si>
    <t>Gns. månedsløn inkl. overhead</t>
  </si>
  <si>
    <t xml:space="preserve">Fuldtidslønnen er nedjusteret til 30 timer. </t>
  </si>
  <si>
    <t>Pædagog</t>
  </si>
  <si>
    <t>Psykolog</t>
  </si>
  <si>
    <t>Understøttende konsulent / projektleder</t>
  </si>
  <si>
    <t>Samlede driftsudgifter</t>
  </si>
  <si>
    <t>Lavt antal rådgivningsforløb</t>
  </si>
  <si>
    <t>Lavt antal indsatsforløb</t>
  </si>
  <si>
    <t>Højt antal rådgivningsforløb</t>
  </si>
  <si>
    <t>Højt antal indsatsforløb</t>
  </si>
  <si>
    <t>Overhead</t>
  </si>
  <si>
    <t>RESULTATER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</si>
</sst>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164" formatCode="0.0"/>
    <numFmt numFmtId="165" formatCode="_-* #,##0\ &quot;kr.&quot;_-;\-* #,##0\ &quot;kr.&quot;_-;_-* &quot;-&quot;??\ &quot;kr.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b/>
      <sz val="12"/>
      <color theme="0"/>
      <name val="Verdana"/>
      <family val="2"/>
    </font>
    <font>
      <sz val="9"/>
      <color rgb="FFFF0000"/>
      <name val="Verdana"/>
      <family val="2"/>
    </font>
    <font>
      <sz val="9"/>
      <name val="Verdana"/>
      <family val="2"/>
    </font>
    <font>
      <sz val="9"/>
      <color theme="7"/>
      <name val="Verdana"/>
      <family val="2"/>
    </font>
    <font>
      <i/>
      <sz val="9"/>
      <color theme="0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i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2" fillId="3" borderId="0" xfId="2" applyFont="1" applyFill="1"/>
    <xf numFmtId="0" fontId="9" fillId="2" borderId="0" xfId="2" applyFont="1" applyFill="1"/>
    <xf numFmtId="0" fontId="10" fillId="2" borderId="0" xfId="2" applyFont="1" applyFill="1"/>
    <xf numFmtId="0" fontId="2" fillId="2" borderId="0" xfId="2" applyFont="1" applyFill="1"/>
    <xf numFmtId="0" fontId="7" fillId="2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7" fillId="3" borderId="0" xfId="2" applyFont="1" applyFill="1"/>
    <xf numFmtId="0" fontId="11" fillId="0" borderId="0" xfId="2" applyFont="1"/>
    <xf numFmtId="0" fontId="11" fillId="3" borderId="0" xfId="2" applyFont="1" applyFill="1" applyAlignment="1">
      <alignment vertical="center"/>
    </xf>
    <xf numFmtId="0" fontId="11" fillId="3" borderId="0" xfId="2" applyFont="1" applyFill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right"/>
    </xf>
    <xf numFmtId="0" fontId="11" fillId="3" borderId="0" xfId="2" applyFont="1" applyFill="1" applyAlignment="1">
      <alignment horizontal="right"/>
    </xf>
    <xf numFmtId="0" fontId="2" fillId="3" borderId="0" xfId="3" applyFont="1" applyFill="1"/>
    <xf numFmtId="0" fontId="2" fillId="3" borderId="0" xfId="2" applyFont="1" applyFill="1" applyAlignment="1">
      <alignment horizontal="right"/>
    </xf>
    <xf numFmtId="0" fontId="12" fillId="3" borderId="0" xfId="2" applyFont="1" applyFill="1"/>
    <xf numFmtId="0" fontId="13" fillId="2" borderId="0" xfId="2" applyFont="1" applyFill="1" applyAlignment="1">
      <alignment vertical="center"/>
    </xf>
    <xf numFmtId="0" fontId="2" fillId="3" borderId="0" xfId="2" applyFont="1" applyFill="1" applyAlignment="1">
      <alignment horizontal="left"/>
    </xf>
    <xf numFmtId="0" fontId="2" fillId="3" borderId="0" xfId="2" applyFont="1" applyFill="1" applyAlignment="1">
      <alignment horizontal="right" vertical="center"/>
    </xf>
    <xf numFmtId="0" fontId="14" fillId="0" borderId="0" xfId="2" applyFont="1"/>
    <xf numFmtId="0" fontId="7" fillId="0" borderId="0" xfId="2" applyFont="1"/>
    <xf numFmtId="0" fontId="5" fillId="3" borderId="0" xfId="2" applyFont="1" applyFill="1"/>
    <xf numFmtId="0" fontId="5" fillId="3" borderId="1" xfId="2" applyFont="1" applyFill="1" applyBorder="1"/>
    <xf numFmtId="0" fontId="11" fillId="3" borderId="1" xfId="2" applyFont="1" applyFill="1" applyBorder="1" applyAlignment="1">
      <alignment horizontal="right"/>
    </xf>
    <xf numFmtId="0" fontId="2" fillId="3" borderId="1" xfId="2" applyFont="1" applyFill="1" applyBorder="1"/>
    <xf numFmtId="0" fontId="14" fillId="3" borderId="0" xfId="2" applyFont="1" applyFill="1"/>
    <xf numFmtId="3" fontId="11" fillId="0" borderId="0" xfId="2" applyNumberFormat="1" applyFont="1"/>
    <xf numFmtId="0" fontId="4" fillId="3" borderId="0" xfId="2" applyFont="1" applyFill="1" applyAlignment="1">
      <alignment horizontal="left"/>
    </xf>
    <xf numFmtId="1" fontId="11" fillId="0" borderId="0" xfId="2" applyNumberFormat="1" applyFont="1" applyAlignment="1">
      <alignment horizontal="right" vertical="center"/>
    </xf>
    <xf numFmtId="0" fontId="2" fillId="3" borderId="1" xfId="2" applyFont="1" applyFill="1" applyBorder="1" applyAlignment="1">
      <alignment horizontal="right" vertical="center"/>
    </xf>
    <xf numFmtId="0" fontId="2" fillId="3" borderId="0" xfId="3" applyFont="1" applyFill="1" applyAlignment="1">
      <alignment horizontal="center"/>
    </xf>
    <xf numFmtId="0" fontId="2" fillId="3" borderId="7" xfId="3" applyFont="1" applyFill="1" applyBorder="1" applyAlignment="1">
      <alignment horizontal="center"/>
    </xf>
    <xf numFmtId="3" fontId="2" fillId="3" borderId="0" xfId="2" applyNumberFormat="1" applyFont="1" applyFill="1" applyAlignment="1">
      <alignment horizontal="right"/>
    </xf>
    <xf numFmtId="0" fontId="2" fillId="0" borderId="0" xfId="2" applyFont="1"/>
    <xf numFmtId="0" fontId="2" fillId="3" borderId="1" xfId="2" applyFont="1" applyFill="1" applyBorder="1" applyAlignment="1">
      <alignment horizontal="right"/>
    </xf>
    <xf numFmtId="0" fontId="2" fillId="3" borderId="0" xfId="2" applyFont="1" applyFill="1" applyAlignment="1">
      <alignment horizontal="left" indent="1"/>
    </xf>
    <xf numFmtId="0" fontId="2" fillId="3" borderId="1" xfId="2" applyFont="1" applyFill="1" applyBorder="1" applyAlignment="1">
      <alignment horizontal="left" indent="1"/>
    </xf>
    <xf numFmtId="0" fontId="8" fillId="5" borderId="0" xfId="2" applyFont="1" applyFill="1"/>
    <xf numFmtId="0" fontId="7" fillId="5" borderId="0" xfId="2" applyFont="1" applyFill="1"/>
    <xf numFmtId="0" fontId="13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 indent="1"/>
    </xf>
    <xf numFmtId="0" fontId="8" fillId="5" borderId="0" xfId="3" applyFont="1" applyFill="1"/>
    <xf numFmtId="0" fontId="7" fillId="5" borderId="0" xfId="3" applyFont="1" applyFill="1"/>
    <xf numFmtId="0" fontId="7" fillId="5" borderId="0" xfId="3" applyFont="1" applyFill="1" applyAlignment="1">
      <alignment horizontal="right"/>
    </xf>
    <xf numFmtId="0" fontId="8" fillId="4" borderId="0" xfId="2" applyFont="1" applyFill="1"/>
    <xf numFmtId="0" fontId="13" fillId="4" borderId="0" xfId="2" applyFont="1" applyFill="1"/>
    <xf numFmtId="0" fontId="8" fillId="4" borderId="0" xfId="2" applyFont="1" applyFill="1" applyAlignment="1">
      <alignment horizontal="center"/>
    </xf>
    <xf numFmtId="0" fontId="7" fillId="4" borderId="0" xfId="2" applyFont="1" applyFill="1"/>
    <xf numFmtId="0" fontId="9" fillId="2" borderId="0" xfId="3" applyFont="1" applyFill="1"/>
    <xf numFmtId="0" fontId="2" fillId="2" borderId="0" xfId="3" applyFont="1" applyFill="1"/>
    <xf numFmtId="0" fontId="4" fillId="5" borderId="0" xfId="3" applyFont="1" applyFill="1"/>
    <xf numFmtId="0" fontId="5" fillId="5" borderId="0" xfId="3" applyFont="1" applyFill="1"/>
    <xf numFmtId="0" fontId="4" fillId="3" borderId="0" xfId="3" applyFont="1" applyFill="1"/>
    <xf numFmtId="0" fontId="4" fillId="6" borderId="0" xfId="3" applyFont="1" applyFill="1"/>
    <xf numFmtId="0" fontId="5" fillId="3" borderId="0" xfId="3" applyFont="1" applyFill="1"/>
    <xf numFmtId="0" fontId="4" fillId="3" borderId="8" xfId="3" applyFont="1" applyFill="1" applyBorder="1"/>
    <xf numFmtId="0" fontId="6" fillId="3" borderId="8" xfId="3" applyFont="1" applyFill="1" applyBorder="1"/>
    <xf numFmtId="0" fontId="4" fillId="3" borderId="9" xfId="3" applyFont="1" applyFill="1" applyBorder="1"/>
    <xf numFmtId="0" fontId="6" fillId="3" borderId="9" xfId="3" applyFont="1" applyFill="1" applyBorder="1"/>
    <xf numFmtId="0" fontId="2" fillId="6" borderId="2" xfId="3" applyFont="1" applyFill="1" applyBorder="1"/>
    <xf numFmtId="3" fontId="4" fillId="6" borderId="9" xfId="3" applyNumberFormat="1" applyFont="1" applyFill="1" applyBorder="1" applyAlignment="1">
      <alignment horizontal="right"/>
    </xf>
    <xf numFmtId="0" fontId="4" fillId="6" borderId="9" xfId="3" applyFont="1" applyFill="1" applyBorder="1"/>
    <xf numFmtId="9" fontId="2" fillId="6" borderId="4" xfId="5" applyFont="1" applyFill="1" applyBorder="1" applyAlignment="1">
      <alignment horizontal="right"/>
    </xf>
    <xf numFmtId="0" fontId="13" fillId="5" borderId="0" xfId="3" applyFont="1" applyFill="1"/>
    <xf numFmtId="3" fontId="4" fillId="6" borderId="0" xfId="3" applyNumberFormat="1" applyFont="1" applyFill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/>
    <xf numFmtId="0" fontId="6" fillId="0" borderId="0" xfId="3" applyFont="1"/>
    <xf numFmtId="0" fontId="2" fillId="0" borderId="0" xfId="3" applyFont="1"/>
    <xf numFmtId="0" fontId="6" fillId="6" borderId="0" xfId="3" applyFont="1" applyFill="1"/>
    <xf numFmtId="0" fontId="4" fillId="6" borderId="0" xfId="3" applyFont="1" applyFill="1" applyAlignment="1">
      <alignment horizontal="right"/>
    </xf>
    <xf numFmtId="3" fontId="2" fillId="6" borderId="0" xfId="3" applyNumberFormat="1" applyFont="1" applyFill="1" applyAlignment="1">
      <alignment horizontal="right"/>
    </xf>
    <xf numFmtId="9" fontId="2" fillId="6" borderId="0" xfId="1" applyFont="1" applyFill="1" applyBorder="1"/>
    <xf numFmtId="3" fontId="2" fillId="0" borderId="0" xfId="3" applyNumberFormat="1" applyFont="1"/>
    <xf numFmtId="0" fontId="4" fillId="0" borderId="4" xfId="3" applyFont="1" applyBorder="1"/>
    <xf numFmtId="3" fontId="4" fillId="6" borderId="4" xfId="3" applyNumberFormat="1" applyFont="1" applyFill="1" applyBorder="1" applyAlignment="1">
      <alignment horizontal="right"/>
    </xf>
    <xf numFmtId="0" fontId="4" fillId="6" borderId="4" xfId="3" applyFont="1" applyFill="1" applyBorder="1"/>
    <xf numFmtId="3" fontId="2" fillId="3" borderId="0" xfId="3" applyNumberFormat="1" applyFont="1" applyFill="1"/>
    <xf numFmtId="0" fontId="2" fillId="3" borderId="5" xfId="3" applyFont="1" applyFill="1" applyBorder="1" applyAlignment="1">
      <alignment horizontal="center"/>
    </xf>
    <xf numFmtId="0" fontId="11" fillId="3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vertical="center"/>
    </xf>
    <xf numFmtId="0" fontId="2" fillId="3" borderId="4" xfId="3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1" fontId="2" fillId="3" borderId="0" xfId="3" applyNumberFormat="1" applyFont="1" applyFill="1" applyAlignment="1">
      <alignment horizontal="center"/>
    </xf>
    <xf numFmtId="0" fontId="5" fillId="3" borderId="0" xfId="2" applyFont="1" applyFill="1" applyBorder="1"/>
    <xf numFmtId="0" fontId="5" fillId="3" borderId="0" xfId="2" applyFont="1" applyFill="1" applyAlignment="1">
      <alignment horizontal="left" indent="1"/>
    </xf>
    <xf numFmtId="0" fontId="5" fillId="3" borderId="1" xfId="2" applyFont="1" applyFill="1" applyBorder="1" applyAlignment="1">
      <alignment horizontal="left" indent="1"/>
    </xf>
    <xf numFmtId="165" fontId="11" fillId="3" borderId="0" xfId="6" applyNumberFormat="1" applyFont="1" applyFill="1"/>
    <xf numFmtId="165" fontId="11" fillId="0" borderId="0" xfId="6" applyNumberFormat="1" applyFont="1"/>
    <xf numFmtId="165" fontId="11" fillId="3" borderId="0" xfId="6" applyNumberFormat="1" applyFont="1" applyFill="1" applyAlignment="1">
      <alignment horizontal="right"/>
    </xf>
    <xf numFmtId="165" fontId="11" fillId="3" borderId="1" xfId="6" applyNumberFormat="1" applyFont="1" applyFill="1" applyBorder="1" applyAlignment="1">
      <alignment horizontal="right"/>
    </xf>
    <xf numFmtId="165" fontId="2" fillId="3" borderId="0" xfId="6" applyNumberFormat="1" applyFont="1" applyFill="1" applyAlignment="1">
      <alignment horizontal="right" vertical="center"/>
    </xf>
    <xf numFmtId="165" fontId="2" fillId="3" borderId="1" xfId="6" applyNumberFormat="1" applyFont="1" applyFill="1" applyBorder="1" applyAlignment="1">
      <alignment horizontal="right" vertical="center"/>
    </xf>
    <xf numFmtId="0" fontId="11" fillId="3" borderId="0" xfId="6" applyNumberFormat="1" applyFont="1" applyFill="1" applyAlignment="1">
      <alignment horizontal="right"/>
    </xf>
    <xf numFmtId="1" fontId="11" fillId="3" borderId="0" xfId="6" applyNumberFormat="1" applyFont="1" applyFill="1"/>
    <xf numFmtId="165" fontId="14" fillId="3" borderId="0" xfId="2" applyNumberFormat="1" applyFont="1" applyFill="1"/>
    <xf numFmtId="165" fontId="2" fillId="6" borderId="0" xfId="6" applyNumberFormat="1" applyFont="1" applyFill="1" applyAlignment="1">
      <alignment horizontal="right"/>
    </xf>
    <xf numFmtId="1" fontId="11" fillId="0" borderId="0" xfId="2" applyNumberFormat="1" applyFont="1" applyAlignment="1">
      <alignment horizontal="center" vertical="center"/>
    </xf>
    <xf numFmtId="0" fontId="2" fillId="3" borderId="0" xfId="2" applyFont="1" applyFill="1" applyBorder="1" applyAlignment="1">
      <alignment horizontal="left" indent="1"/>
    </xf>
    <xf numFmtId="0" fontId="11" fillId="3" borderId="0" xfId="2" applyFont="1" applyFill="1" applyBorder="1" applyAlignment="1">
      <alignment horizontal="right"/>
    </xf>
    <xf numFmtId="1" fontId="11" fillId="3" borderId="0" xfId="2" applyNumberFormat="1" applyFont="1" applyFill="1" applyAlignment="1">
      <alignment horizontal="right"/>
    </xf>
    <xf numFmtId="164" fontId="11" fillId="3" borderId="0" xfId="2" applyNumberFormat="1" applyFont="1" applyFill="1" applyBorder="1" applyAlignment="1">
      <alignment horizontal="right"/>
    </xf>
    <xf numFmtId="165" fontId="4" fillId="6" borderId="4" xfId="6" applyNumberFormat="1" applyFont="1" applyFill="1" applyBorder="1" applyAlignment="1">
      <alignment horizontal="right"/>
    </xf>
    <xf numFmtId="165" fontId="4" fillId="6" borderId="8" xfId="6" applyNumberFormat="1" applyFont="1" applyFill="1" applyBorder="1" applyAlignment="1">
      <alignment horizontal="right"/>
    </xf>
    <xf numFmtId="165" fontId="4" fillId="6" borderId="9" xfId="6" applyNumberFormat="1" applyFont="1" applyFill="1" applyBorder="1" applyAlignment="1">
      <alignment horizontal="right"/>
    </xf>
    <xf numFmtId="9" fontId="2" fillId="6" borderId="0" xfId="1" applyFont="1" applyFill="1" applyAlignment="1">
      <alignment horizontal="right"/>
    </xf>
    <xf numFmtId="0" fontId="2" fillId="0" borderId="0" xfId="3" quotePrefix="1" applyFont="1" applyFill="1" applyBorder="1"/>
    <xf numFmtId="3" fontId="2" fillId="0" borderId="0" xfId="3" applyNumberFormat="1" applyFont="1" applyFill="1" applyBorder="1"/>
    <xf numFmtId="165" fontId="2" fillId="7" borderId="2" xfId="6" applyNumberFormat="1" applyFont="1" applyFill="1" applyBorder="1"/>
    <xf numFmtId="165" fontId="2" fillId="3" borderId="2" xfId="6" applyNumberFormat="1" applyFont="1" applyFill="1" applyBorder="1"/>
    <xf numFmtId="165" fontId="2" fillId="0" borderId="2" xfId="6" applyNumberFormat="1" applyFont="1" applyFill="1" applyBorder="1"/>
    <xf numFmtId="0" fontId="2" fillId="6" borderId="10" xfId="3" applyFont="1" applyFill="1" applyBorder="1"/>
    <xf numFmtId="0" fontId="2" fillId="0" borderId="0" xfId="3" applyFont="1" applyFill="1" applyBorder="1"/>
    <xf numFmtId="0" fontId="2" fillId="0" borderId="6" xfId="3" applyFont="1" applyFill="1" applyBorder="1"/>
    <xf numFmtId="9" fontId="2" fillId="7" borderId="2" xfId="1" quotePrefix="1" applyFont="1" applyFill="1" applyBorder="1" applyAlignment="1">
      <alignment horizontal="left"/>
    </xf>
    <xf numFmtId="9" fontId="2" fillId="3" borderId="2" xfId="1" applyFont="1" applyFill="1" applyBorder="1" applyAlignment="1">
      <alignment horizontal="left"/>
    </xf>
    <xf numFmtId="9" fontId="2" fillId="3" borderId="0" xfId="1" quotePrefix="1" applyFont="1" applyFill="1" applyBorder="1" applyAlignment="1">
      <alignment horizontal="left"/>
    </xf>
    <xf numFmtId="165" fontId="2" fillId="3" borderId="0" xfId="6" applyNumberFormat="1" applyFont="1" applyFill="1" applyBorder="1"/>
    <xf numFmtId="165" fontId="2" fillId="0" borderId="0" xfId="6" applyNumberFormat="1" applyFont="1" applyFill="1" applyBorder="1"/>
    <xf numFmtId="165" fontId="2" fillId="0" borderId="11" xfId="6" applyNumberFormat="1" applyFont="1" applyFill="1" applyBorder="1"/>
    <xf numFmtId="0" fontId="4" fillId="0" borderId="0" xfId="3" quotePrefix="1" applyFont="1" applyFill="1" applyBorder="1"/>
    <xf numFmtId="3" fontId="2" fillId="0" borderId="0" xfId="3" applyNumberFormat="1" applyFont="1" applyFill="1" applyBorder="1" applyAlignment="1"/>
    <xf numFmtId="0" fontId="4" fillId="3" borderId="0" xfId="3" applyFont="1" applyFill="1" applyBorder="1"/>
    <xf numFmtId="0" fontId="4" fillId="3" borderId="1" xfId="3" applyFont="1" applyFill="1" applyBorder="1"/>
    <xf numFmtId="0" fontId="4" fillId="3" borderId="4" xfId="3" applyFont="1" applyFill="1" applyBorder="1"/>
    <xf numFmtId="0" fontId="2" fillId="6" borderId="0" xfId="3" applyFont="1" applyFill="1"/>
    <xf numFmtId="9" fontId="2" fillId="6" borderId="9" xfId="5" applyFont="1" applyFill="1" applyBorder="1" applyAlignment="1">
      <alignment horizontal="right"/>
    </xf>
    <xf numFmtId="0" fontId="6" fillId="3" borderId="4" xfId="3" applyFont="1" applyFill="1" applyBorder="1"/>
    <xf numFmtId="0" fontId="5" fillId="3" borderId="0" xfId="2" applyFont="1" applyFill="1" applyAlignment="1">
      <alignment horizontal="left"/>
    </xf>
    <xf numFmtId="0" fontId="5" fillId="3" borderId="1" xfId="2" applyFont="1" applyFill="1" applyBorder="1" applyAlignment="1">
      <alignment horizontal="left"/>
    </xf>
    <xf numFmtId="9" fontId="2" fillId="0" borderId="0" xfId="1" applyFont="1" applyFill="1" applyAlignment="1">
      <alignment horizontal="right"/>
    </xf>
    <xf numFmtId="165" fontId="11" fillId="3" borderId="0" xfId="2" applyNumberFormat="1" applyFont="1" applyFill="1"/>
    <xf numFmtId="0" fontId="11" fillId="3" borderId="0" xfId="2" applyNumberFormat="1" applyFont="1" applyFill="1"/>
    <xf numFmtId="0" fontId="15" fillId="0" borderId="0" xfId="2" applyFont="1"/>
    <xf numFmtId="0" fontId="6" fillId="3" borderId="0" xfId="3" applyFont="1" applyFill="1" applyBorder="1"/>
    <xf numFmtId="165" fontId="4" fillId="6" borderId="0" xfId="6" applyNumberFormat="1" applyFont="1" applyFill="1" applyBorder="1" applyAlignment="1">
      <alignment horizontal="right"/>
    </xf>
    <xf numFmtId="0" fontId="4" fillId="6" borderId="0" xfId="3" applyFont="1" applyFill="1" applyBorder="1"/>
    <xf numFmtId="165" fontId="4" fillId="0" borderId="0" xfId="6" applyNumberFormat="1" applyFont="1" applyFill="1" applyBorder="1" applyAlignment="1">
      <alignment horizontal="right"/>
    </xf>
    <xf numFmtId="0" fontId="4" fillId="0" borderId="0" xfId="3" applyFont="1" applyFill="1" applyBorder="1"/>
    <xf numFmtId="0" fontId="16" fillId="3" borderId="0" xfId="2" applyFont="1" applyFill="1"/>
    <xf numFmtId="165" fontId="2" fillId="3" borderId="0" xfId="3" applyNumberFormat="1" applyFont="1" applyFill="1" applyAlignment="1">
      <alignment horizontal="center"/>
    </xf>
    <xf numFmtId="165" fontId="2" fillId="3" borderId="0" xfId="3" applyNumberFormat="1" applyFont="1" applyFill="1"/>
    <xf numFmtId="9" fontId="2" fillId="0" borderId="2" xfId="1" quotePrefix="1" applyFont="1" applyFill="1" applyBorder="1" applyAlignment="1">
      <alignment horizontal="left"/>
    </xf>
    <xf numFmtId="0" fontId="2" fillId="0" borderId="0" xfId="6" applyNumberFormat="1" applyFont="1" applyFill="1" applyBorder="1"/>
    <xf numFmtId="9" fontId="2" fillId="0" borderId="0" xfId="1" quotePrefix="1" applyFont="1" applyFill="1" applyBorder="1" applyAlignment="1">
      <alignment horizontal="left"/>
    </xf>
    <xf numFmtId="0" fontId="2" fillId="3" borderId="0" xfId="3" applyFont="1" applyFill="1" applyAlignment="1">
      <alignment horizontal="center"/>
    </xf>
    <xf numFmtId="0" fontId="6" fillId="6" borderId="0" xfId="3" applyFont="1" applyFill="1" applyBorder="1"/>
    <xf numFmtId="0" fontId="4" fillId="0" borderId="0" xfId="3" applyFont="1" applyFill="1"/>
    <xf numFmtId="0" fontId="6" fillId="0" borderId="0" xfId="3" applyFont="1" applyFill="1" applyBorder="1"/>
    <xf numFmtId="165" fontId="2" fillId="0" borderId="0" xfId="3" applyNumberFormat="1" applyFont="1" applyFill="1" applyBorder="1"/>
    <xf numFmtId="0" fontId="2" fillId="6" borderId="4" xfId="3" applyFont="1" applyFill="1" applyBorder="1" applyAlignment="1">
      <alignment horizontal="center"/>
    </xf>
    <xf numFmtId="0" fontId="2" fillId="6" borderId="5" xfId="3" applyFont="1" applyFill="1" applyBorder="1" applyAlignment="1">
      <alignment horizontal="center"/>
    </xf>
    <xf numFmtId="0" fontId="2" fillId="6" borderId="3" xfId="3" applyFont="1" applyFill="1" applyBorder="1" applyAlignment="1">
      <alignment horizontal="center"/>
    </xf>
    <xf numFmtId="3" fontId="2" fillId="6" borderId="2" xfId="3" applyNumberFormat="1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3" borderId="0" xfId="3" applyFont="1" applyFill="1" applyAlignment="1">
      <alignment horizontal="center"/>
    </xf>
  </cellXfs>
  <cellStyles count="7">
    <cellStyle name="Normal" xfId="0" builtinId="0"/>
    <cellStyle name="Normal 2" xfId="2"/>
    <cellStyle name="Normal 2 2" xfId="3"/>
    <cellStyle name="Normal 3 2" xfId="4"/>
    <cellStyle name="Percent 2" xfId="5"/>
    <cellStyle name="Procent" xfId="1" builtinId="5"/>
    <cellStyle name="Valuta" xfId="6" builtinId="4"/>
  </cellStyles>
  <dxfs count="0"/>
  <tableStyles count="0" defaultTableStyle="TableStyleMedium2" defaultPivotStyle="PivotStyleLight16"/>
  <colors>
    <mruColors>
      <color rgb="FF05326E"/>
      <color rgb="FFCED6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4C-48BF-B69A-71804B41ACC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4C-48BF-B69A-71804B41A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028872"/>
        <c:axId val="731231816"/>
      </c:barChart>
      <c:catAx>
        <c:axId val="5640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31231816"/>
        <c:crosses val="autoZero"/>
        <c:auto val="1"/>
        <c:lblAlgn val="ctr"/>
        <c:lblOffset val="100"/>
        <c:noMultiLvlLbl val="0"/>
      </c:catAx>
      <c:valAx>
        <c:axId val="731231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a-DK"/>
          </a:p>
        </c:txPr>
        <c:crossAx val="56402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17</xdr:row>
      <xdr:rowOff>133350</xdr:rowOff>
    </xdr:from>
    <xdr:to>
      <xdr:col>9</xdr:col>
      <xdr:colOff>923925</xdr:colOff>
      <xdr:row>19</xdr:row>
      <xdr:rowOff>137934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B68AE-FA6B-4319-A195-892D97BC5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3190875"/>
          <a:ext cx="1343025" cy="290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43</xdr:row>
      <xdr:rowOff>104775</xdr:rowOff>
    </xdr:from>
    <xdr:to>
      <xdr:col>6</xdr:col>
      <xdr:colOff>1133475</xdr:colOff>
      <xdr:row>45</xdr:row>
      <xdr:rowOff>109359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9EA939-CA86-4081-975B-0F554F9BE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6648450"/>
          <a:ext cx="1343025" cy="290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662609</xdr:colOff>
      <xdr:row>45</xdr:row>
      <xdr:rowOff>107674</xdr:rowOff>
    </xdr:from>
    <xdr:to>
      <xdr:col>7</xdr:col>
      <xdr:colOff>514764</xdr:colOff>
      <xdr:row>47</xdr:row>
      <xdr:rowOff>116399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F11340-217C-40B3-9863-1E2FF134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652" y="8257761"/>
          <a:ext cx="1343025" cy="290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1</xdr:col>
      <xdr:colOff>1391065</xdr:colOff>
      <xdr:row>60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B429AF-73AF-4A92-A021-9E66C88AF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096" y="10755796"/>
          <a:ext cx="1391064" cy="0"/>
        </a:xfrm>
        <a:prstGeom prst="rect">
          <a:avLst/>
        </a:prstGeom>
      </xdr:spPr>
    </xdr:pic>
    <xdr:clientData/>
  </xdr:twoCellAnchor>
  <xdr:oneCellAnchor>
    <xdr:from>
      <xdr:col>6</xdr:col>
      <xdr:colOff>590550</xdr:colOff>
      <xdr:row>60</xdr:row>
      <xdr:rowOff>67393</xdr:rowOff>
    </xdr:from>
    <xdr:ext cx="1484451" cy="311957"/>
    <xdr:pic>
      <xdr:nvPicPr>
        <xdr:cNvPr id="4" name="Picture 3">
          <a:extLst>
            <a:ext uri="{FF2B5EF4-FFF2-40B4-BE49-F238E27FC236}">
              <a16:creationId xmlns:a16="http://schemas.microsoft.com/office/drawing/2014/main" id="{ACB688A8-0BD9-4868-95BE-D27980D0E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956" y="10973518"/>
          <a:ext cx="1484451" cy="31195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78</xdr:row>
      <xdr:rowOff>80962</xdr:rowOff>
    </xdr:from>
    <xdr:to>
      <xdr:col>1</xdr:col>
      <xdr:colOff>409575</xdr:colOff>
      <xdr:row>97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4838AC-EFBF-41A0-91CD-13E0F5640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ambøll_2021">
      <a:dk1>
        <a:srgbClr val="000000"/>
      </a:dk1>
      <a:lt1>
        <a:srgbClr val="FFFFFF"/>
      </a:lt1>
      <a:dk2>
        <a:srgbClr val="009DF0"/>
      </a:dk2>
      <a:lt2>
        <a:srgbClr val="273943"/>
      </a:lt2>
      <a:accent1>
        <a:srgbClr val="05326E"/>
      </a:accent1>
      <a:accent2>
        <a:srgbClr val="125A40"/>
      </a:accent2>
      <a:accent3>
        <a:srgbClr val="ADD095"/>
      </a:accent3>
      <a:accent4>
        <a:srgbClr val="62294B"/>
      </a:accent4>
      <a:accent5>
        <a:srgbClr val="FF8855"/>
      </a:accent5>
      <a:accent6>
        <a:srgbClr val="E3E1D8"/>
      </a:accent6>
      <a:hlink>
        <a:srgbClr val="009DF0"/>
      </a:hlink>
      <a:folHlink>
        <a:srgbClr val="CCEB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abSelected="1" workbookViewId="0"/>
  </sheetViews>
  <sheetFormatPr defaultColWidth="0" defaultRowHeight="0" customHeight="1" zeroHeight="1" x14ac:dyDescent="0.2"/>
  <cols>
    <col min="1" max="1" width="2.5546875" style="1" customWidth="1"/>
    <col min="2" max="2" width="51.88671875" style="1" customWidth="1"/>
    <col min="3" max="3" width="14.6640625" style="1" customWidth="1"/>
    <col min="4" max="4" width="15" style="1" customWidth="1"/>
    <col min="5" max="5" width="16.33203125" style="1" customWidth="1"/>
    <col min="6" max="6" width="14.88671875" style="1" customWidth="1"/>
    <col min="7" max="7" width="15.109375" style="1" bestFit="1" customWidth="1"/>
    <col min="8" max="8" width="12.88671875" style="1" bestFit="1" customWidth="1"/>
    <col min="9" max="9" width="15.109375" style="1" customWidth="1"/>
    <col min="10" max="10" width="16.33203125" style="1" customWidth="1"/>
    <col min="11" max="16" width="0" style="1" hidden="1" customWidth="1"/>
    <col min="17" max="16384" width="11.109375" style="1" hidden="1"/>
  </cols>
  <sheetData>
    <row r="1" spans="1:15" ht="19.5" customHeight="1" x14ac:dyDescent="0.3">
      <c r="B1" s="2" t="s">
        <v>0</v>
      </c>
      <c r="C1" s="3"/>
      <c r="D1" s="4"/>
      <c r="E1" s="4"/>
      <c r="F1" s="4"/>
      <c r="G1" s="4"/>
      <c r="H1" s="4"/>
      <c r="I1" s="4"/>
      <c r="J1" s="4"/>
    </row>
    <row r="2" spans="1:15" ht="23.25" customHeight="1" x14ac:dyDescent="0.2">
      <c r="B2" s="18" t="s">
        <v>36</v>
      </c>
      <c r="C2" s="4"/>
      <c r="D2" s="4"/>
      <c r="E2" s="4"/>
      <c r="F2" s="4"/>
      <c r="G2" s="4"/>
      <c r="H2" s="5"/>
      <c r="I2" s="5"/>
      <c r="J2" s="5" t="s">
        <v>1</v>
      </c>
      <c r="K2" s="6"/>
    </row>
    <row r="3" spans="1:15" ht="11.4" x14ac:dyDescent="0.2"/>
    <row r="4" spans="1:15" s="7" customFormat="1" ht="11.4" x14ac:dyDescent="0.2">
      <c r="B4" s="39" t="s">
        <v>62</v>
      </c>
      <c r="C4" s="40"/>
      <c r="D4" s="40"/>
      <c r="E4" s="40"/>
      <c r="F4" s="40"/>
      <c r="G4" s="40"/>
      <c r="H4" s="40"/>
      <c r="I4" s="40"/>
      <c r="J4" s="40"/>
    </row>
    <row r="5" spans="1:15" s="10" customFormat="1" ht="13.5" customHeight="1" x14ac:dyDescent="0.2">
      <c r="A5" s="8"/>
      <c r="B5" s="11" t="s">
        <v>56</v>
      </c>
      <c r="C5" s="11"/>
      <c r="D5" s="30"/>
      <c r="E5" s="105">
        <v>259</v>
      </c>
      <c r="F5" s="12"/>
      <c r="G5" s="12"/>
      <c r="H5" s="12"/>
      <c r="I5" s="12"/>
      <c r="J5" s="11"/>
      <c r="K5" s="9"/>
      <c r="L5" s="9"/>
      <c r="M5" s="9"/>
      <c r="N5" s="9"/>
      <c r="O5" s="9"/>
    </row>
    <row r="6" spans="1:15" s="10" customFormat="1" ht="13.5" customHeight="1" x14ac:dyDescent="0.2">
      <c r="A6" s="8"/>
      <c r="B6" s="11" t="s">
        <v>55</v>
      </c>
      <c r="C6" s="11"/>
      <c r="D6" s="30"/>
      <c r="E6" s="105">
        <v>86</v>
      </c>
      <c r="F6" s="12"/>
      <c r="G6" s="12"/>
      <c r="H6" s="12"/>
      <c r="I6" s="12"/>
      <c r="J6" s="11"/>
      <c r="K6" s="9"/>
      <c r="L6" s="9"/>
      <c r="M6" s="9"/>
      <c r="N6" s="9"/>
      <c r="O6" s="9"/>
    </row>
    <row r="7" spans="1:15" s="10" customFormat="1" ht="13.5" customHeight="1" x14ac:dyDescent="0.2">
      <c r="A7" s="8"/>
      <c r="B7" s="11"/>
      <c r="C7" s="11"/>
      <c r="D7" s="30"/>
      <c r="E7" s="105"/>
      <c r="F7" s="12"/>
      <c r="G7" s="12"/>
      <c r="H7" s="12"/>
      <c r="I7" s="12"/>
      <c r="J7" s="11"/>
      <c r="K7" s="9"/>
      <c r="L7" s="9"/>
      <c r="M7" s="9"/>
      <c r="N7" s="9"/>
      <c r="O7" s="9"/>
    </row>
    <row r="8" spans="1:15" s="10" customFormat="1" ht="13.5" customHeight="1" x14ac:dyDescent="0.2">
      <c r="A8" s="8"/>
      <c r="B8" s="39" t="s">
        <v>63</v>
      </c>
      <c r="C8" s="40"/>
      <c r="D8" s="40"/>
      <c r="E8" s="40"/>
      <c r="F8" s="40"/>
      <c r="G8" s="40"/>
      <c r="H8" s="40"/>
      <c r="I8" s="40"/>
      <c r="J8" s="40"/>
      <c r="K8" s="9"/>
      <c r="L8" s="9"/>
      <c r="M8" s="9"/>
      <c r="N8" s="9"/>
      <c r="O8" s="9"/>
    </row>
    <row r="9" spans="1:15" s="10" customFormat="1" ht="13.5" customHeight="1" x14ac:dyDescent="0.2">
      <c r="A9" s="8"/>
      <c r="B9" s="11" t="s">
        <v>56</v>
      </c>
      <c r="C9" s="11"/>
      <c r="D9" s="30"/>
      <c r="E9" s="105">
        <v>3</v>
      </c>
      <c r="F9" s="12"/>
      <c r="G9" s="12"/>
      <c r="H9" s="12"/>
      <c r="I9" s="12"/>
      <c r="J9" s="11"/>
      <c r="K9" s="9"/>
      <c r="L9" s="9"/>
      <c r="M9" s="9"/>
      <c r="N9" s="9"/>
      <c r="O9" s="9"/>
    </row>
    <row r="10" spans="1:15" s="10" customFormat="1" ht="13.5" customHeight="1" x14ac:dyDescent="0.2">
      <c r="A10" s="8"/>
      <c r="B10" s="11" t="s">
        <v>55</v>
      </c>
      <c r="C10" s="11"/>
      <c r="D10" s="30"/>
      <c r="E10" s="105">
        <v>9</v>
      </c>
      <c r="F10" s="12"/>
      <c r="G10" s="12"/>
      <c r="H10" s="12"/>
      <c r="I10" s="12"/>
      <c r="J10" s="11"/>
      <c r="K10" s="9"/>
      <c r="L10" s="9"/>
      <c r="M10" s="9"/>
      <c r="N10" s="9"/>
      <c r="O10" s="9"/>
    </row>
    <row r="11" spans="1:15" s="10" customFormat="1" ht="13.5" customHeight="1" x14ac:dyDescent="0.2">
      <c r="A11" s="8"/>
      <c r="B11" s="11"/>
      <c r="C11" s="11"/>
      <c r="D11" s="30"/>
      <c r="E11" s="105"/>
      <c r="F11" s="12"/>
      <c r="G11" s="12"/>
      <c r="H11" s="12"/>
      <c r="I11" s="12"/>
      <c r="J11" s="11"/>
      <c r="K11" s="9"/>
      <c r="L11" s="9"/>
      <c r="M11" s="9"/>
      <c r="N11" s="9"/>
      <c r="O11" s="9"/>
    </row>
    <row r="12" spans="1:15" s="10" customFormat="1" ht="13.5" customHeight="1" x14ac:dyDescent="0.2">
      <c r="A12" s="8"/>
      <c r="B12" s="44" t="s">
        <v>2</v>
      </c>
      <c r="C12" s="45"/>
      <c r="D12" s="46"/>
      <c r="E12" s="46"/>
      <c r="F12" s="46"/>
      <c r="G12" s="46"/>
      <c r="H12" s="46"/>
      <c r="I12" s="46"/>
      <c r="J12" s="45"/>
      <c r="K12" s="9"/>
      <c r="L12" s="9"/>
      <c r="M12" s="9"/>
      <c r="N12" s="9"/>
      <c r="O12" s="9"/>
    </row>
    <row r="13" spans="1:15" s="82" customFormat="1" ht="22.8" x14ac:dyDescent="0.3">
      <c r="A13" s="83"/>
      <c r="B13" s="84"/>
      <c r="C13" s="85" t="s">
        <v>38</v>
      </c>
      <c r="D13" s="85" t="s">
        <v>39</v>
      </c>
      <c r="E13" s="85" t="s">
        <v>40</v>
      </c>
      <c r="F13" s="85" t="s">
        <v>41</v>
      </c>
      <c r="G13" s="84"/>
      <c r="H13" s="85"/>
      <c r="I13" s="86"/>
      <c r="J13" s="85" t="s">
        <v>3</v>
      </c>
    </row>
    <row r="14" spans="1:15" s="10" customFormat="1" ht="11.4" x14ac:dyDescent="0.2">
      <c r="A14" s="8"/>
      <c r="B14" s="87" t="s">
        <v>37</v>
      </c>
      <c r="C14" s="89">
        <v>1</v>
      </c>
      <c r="D14" s="89">
        <v>1</v>
      </c>
      <c r="E14" s="89">
        <v>0.5</v>
      </c>
      <c r="F14" s="89">
        <v>0.5</v>
      </c>
      <c r="G14" s="88"/>
      <c r="H14" s="88"/>
      <c r="I14" s="81"/>
      <c r="J14" s="88">
        <f>SUM(C14:I14)</f>
        <v>3</v>
      </c>
    </row>
    <row r="15" spans="1:15" s="15" customFormat="1" ht="11.4" x14ac:dyDescent="0.2">
      <c r="B15" s="15" t="s">
        <v>4</v>
      </c>
      <c r="C15" s="90">
        <f>C14</f>
        <v>1</v>
      </c>
      <c r="D15" s="90">
        <f t="shared" ref="D15:F15" si="0">D14</f>
        <v>1</v>
      </c>
      <c r="E15" s="90">
        <f t="shared" si="0"/>
        <v>0.5</v>
      </c>
      <c r="F15" s="90">
        <f t="shared" si="0"/>
        <v>0.5</v>
      </c>
      <c r="G15" s="32"/>
      <c r="H15" s="32"/>
      <c r="I15" s="33"/>
      <c r="J15" s="91">
        <f>AVERAGE(J14:J14)</f>
        <v>3</v>
      </c>
    </row>
    <row r="16" spans="1:15" s="15" customFormat="1" ht="11.4" x14ac:dyDescent="0.2">
      <c r="D16" s="32"/>
      <c r="E16" s="32"/>
      <c r="F16" s="32"/>
      <c r="G16" s="32"/>
      <c r="H16" s="32"/>
      <c r="I16" s="32"/>
    </row>
    <row r="17" spans="4:9" ht="11.4" x14ac:dyDescent="0.2">
      <c r="D17" s="16"/>
      <c r="E17" s="16"/>
      <c r="F17" s="16"/>
      <c r="G17" s="16"/>
      <c r="H17" s="16"/>
      <c r="I17" s="16"/>
    </row>
    <row r="18" spans="4:9" ht="11.4" x14ac:dyDescent="0.2">
      <c r="D18" s="16"/>
      <c r="E18" s="16"/>
      <c r="F18" s="16"/>
      <c r="G18" s="16"/>
      <c r="H18" s="16"/>
      <c r="I18" s="16"/>
    </row>
    <row r="19" spans="4:9" ht="11.4" x14ac:dyDescent="0.2"/>
    <row r="20" spans="4:9" ht="11.4" x14ac:dyDescent="0.2"/>
    <row r="21" spans="4:9" ht="11.4" x14ac:dyDescent="0.2"/>
    <row r="22" spans="4:9" ht="11.4" hidden="1" x14ac:dyDescent="0.2"/>
    <row r="23" spans="4:9" ht="11.4" hidden="1" x14ac:dyDescent="0.2"/>
    <row r="24" spans="4:9" ht="11.4" hidden="1" x14ac:dyDescent="0.2"/>
    <row r="25" spans="4:9" ht="11.4" hidden="1" x14ac:dyDescent="0.2"/>
    <row r="26" spans="4:9" ht="11.4" hidden="1" x14ac:dyDescent="0.2"/>
    <row r="27" spans="4:9" ht="11.4" hidden="1" x14ac:dyDescent="0.2"/>
    <row r="28" spans="4:9" ht="11.4" hidden="1" x14ac:dyDescent="0.2"/>
    <row r="29" spans="4:9" ht="11.4" hidden="1" x14ac:dyDescent="0.2"/>
    <row r="30" spans="4:9" ht="11.4" hidden="1" x14ac:dyDescent="0.2"/>
    <row r="31" spans="4:9" ht="11.4" hidden="1" x14ac:dyDescent="0.2"/>
    <row r="32" spans="4:9" ht="11.4" hidden="1" x14ac:dyDescent="0.2"/>
    <row r="33" ht="11.4" hidden="1" x14ac:dyDescent="0.2"/>
    <row r="34" ht="11.4" hidden="1" x14ac:dyDescent="0.2"/>
    <row r="35" ht="11.4" hidden="1" x14ac:dyDescent="0.2"/>
    <row r="36" ht="11.4" hidden="1" x14ac:dyDescent="0.2"/>
    <row r="37" ht="11.4" hidden="1" x14ac:dyDescent="0.2"/>
    <row r="38" ht="11.4" hidden="1" x14ac:dyDescent="0.2"/>
    <row r="39" ht="11.4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Normal="100" workbookViewId="0">
      <selection activeCell="C45" sqref="C45"/>
    </sheetView>
  </sheetViews>
  <sheetFormatPr defaultColWidth="0" defaultRowHeight="0" customHeight="1" zeroHeight="1" x14ac:dyDescent="0.2"/>
  <cols>
    <col min="1" max="1" width="2.5546875" style="1" customWidth="1"/>
    <col min="2" max="2" width="59.88671875" style="1" customWidth="1"/>
    <col min="3" max="3" width="11.109375" style="1" customWidth="1"/>
    <col min="4" max="4" width="12.6640625" style="1" bestFit="1" customWidth="1"/>
    <col min="5" max="5" width="10.44140625" style="1" customWidth="1"/>
    <col min="6" max="6" width="20.33203125" style="1" bestFit="1" customWidth="1"/>
    <col min="7" max="7" width="20.33203125" style="1" customWidth="1"/>
    <col min="8" max="15" width="0" style="1" hidden="1" customWidth="1"/>
    <col min="16" max="16384" width="11.109375" style="1" hidden="1"/>
  </cols>
  <sheetData>
    <row r="1" spans="2:8" ht="19.5" customHeight="1" x14ac:dyDescent="0.3">
      <c r="B1" s="2" t="s">
        <v>5</v>
      </c>
      <c r="C1" s="4"/>
      <c r="D1" s="4"/>
      <c r="E1" s="4"/>
      <c r="F1" s="4"/>
      <c r="G1" s="4"/>
    </row>
    <row r="2" spans="2:8" ht="23.25" customHeight="1" x14ac:dyDescent="0.2">
      <c r="B2" s="18" t="s">
        <v>36</v>
      </c>
      <c r="C2" s="4"/>
      <c r="D2" s="4"/>
      <c r="E2" s="4"/>
      <c r="F2" s="4"/>
      <c r="G2" s="5" t="s">
        <v>1</v>
      </c>
      <c r="H2" s="6"/>
    </row>
    <row r="3" spans="2:8" ht="11.4" x14ac:dyDescent="0.2"/>
    <row r="4" spans="2:8" s="7" customFormat="1" ht="11.4" x14ac:dyDescent="0.2">
      <c r="B4" s="39" t="s">
        <v>6</v>
      </c>
      <c r="C4" s="40" t="s">
        <v>7</v>
      </c>
      <c r="D4" s="40"/>
      <c r="E4" s="40"/>
      <c r="F4" s="40" t="s">
        <v>8</v>
      </c>
      <c r="G4" s="40"/>
    </row>
    <row r="5" spans="2:8" s="7" customFormat="1" ht="11.4" x14ac:dyDescent="0.2">
      <c r="B5" s="8" t="s">
        <v>9</v>
      </c>
      <c r="C5" s="21" t="s">
        <v>10</v>
      </c>
      <c r="D5" s="13">
        <v>2022</v>
      </c>
      <c r="E5" s="8"/>
      <c r="F5" s="8"/>
      <c r="G5" s="8"/>
    </row>
    <row r="6" spans="2:8" s="7" customFormat="1" ht="11.4" x14ac:dyDescent="0.2">
      <c r="B6" s="8" t="s">
        <v>81</v>
      </c>
      <c r="C6" s="21" t="s">
        <v>11</v>
      </c>
      <c r="D6" s="138">
        <v>0.2</v>
      </c>
      <c r="E6" s="8"/>
      <c r="F6" s="21"/>
      <c r="G6" s="21"/>
    </row>
    <row r="7" spans="2:8" s="7" customFormat="1" ht="11.4" x14ac:dyDescent="0.2">
      <c r="B7" s="8" t="s">
        <v>12</v>
      </c>
      <c r="C7" s="21" t="s">
        <v>13</v>
      </c>
      <c r="D7" s="34">
        <v>1554</v>
      </c>
      <c r="E7" s="8"/>
      <c r="F7" s="21"/>
      <c r="G7" s="21"/>
    </row>
    <row r="8" spans="2:8" s="7" customFormat="1" ht="11.4" x14ac:dyDescent="0.2">
      <c r="B8" s="8" t="s">
        <v>14</v>
      </c>
      <c r="C8" s="21" t="s">
        <v>13</v>
      </c>
      <c r="D8" s="34">
        <v>1924</v>
      </c>
      <c r="E8" s="34"/>
      <c r="F8" s="21"/>
      <c r="G8" s="21"/>
    </row>
    <row r="9" spans="2:8" ht="11.4" x14ac:dyDescent="0.2"/>
    <row r="10" spans="2:8" s="7" customFormat="1" ht="11.4" x14ac:dyDescent="0.2">
      <c r="B10" s="39"/>
      <c r="C10" s="40" t="s">
        <v>7</v>
      </c>
      <c r="D10" s="40"/>
      <c r="E10" s="40"/>
      <c r="F10" s="40" t="s">
        <v>8</v>
      </c>
      <c r="G10" s="40"/>
    </row>
    <row r="11" spans="2:8" s="7" customFormat="1" ht="11.4" x14ac:dyDescent="0.2">
      <c r="B11" s="141" t="s">
        <v>73</v>
      </c>
      <c r="C11" s="21"/>
      <c r="D11" s="28"/>
      <c r="E11" s="8"/>
      <c r="F11" s="21"/>
      <c r="G11" s="21"/>
    </row>
    <row r="12" spans="2:8" s="7" customFormat="1" ht="11.4" x14ac:dyDescent="0.2">
      <c r="B12" s="10" t="s">
        <v>70</v>
      </c>
      <c r="C12" s="27" t="s">
        <v>64</v>
      </c>
      <c r="D12" s="95">
        <f>42349/37*30</f>
        <v>34337.027027027027</v>
      </c>
      <c r="E12" s="8"/>
      <c r="F12" s="27" t="s">
        <v>67</v>
      </c>
      <c r="G12" s="27"/>
    </row>
    <row r="13" spans="2:8" s="7" customFormat="1" ht="11.4" x14ac:dyDescent="0.2">
      <c r="B13" s="10" t="s">
        <v>71</v>
      </c>
      <c r="C13" s="27" t="s">
        <v>69</v>
      </c>
      <c r="D13" s="139">
        <f>D12*(1+$D$6)</f>
        <v>41204.432432432433</v>
      </c>
      <c r="E13" s="8"/>
      <c r="F13" s="27" t="s">
        <v>72</v>
      </c>
      <c r="G13" s="27"/>
    </row>
    <row r="14" spans="2:8" s="7" customFormat="1" ht="11.4" x14ac:dyDescent="0.2">
      <c r="B14" s="10" t="s">
        <v>50</v>
      </c>
      <c r="C14" s="27" t="s">
        <v>21</v>
      </c>
      <c r="D14" s="102">
        <v>30</v>
      </c>
      <c r="E14" s="8"/>
      <c r="F14" s="27"/>
      <c r="G14" s="27"/>
    </row>
    <row r="15" spans="2:8" s="7" customFormat="1" ht="11.4" x14ac:dyDescent="0.2">
      <c r="B15" s="10" t="s">
        <v>49</v>
      </c>
      <c r="C15" s="27" t="s">
        <v>21</v>
      </c>
      <c r="D15" s="101">
        <f>D14*52</f>
        <v>1560</v>
      </c>
      <c r="E15" s="8"/>
      <c r="F15" s="27"/>
      <c r="G15" s="27"/>
    </row>
    <row r="16" spans="2:8" s="7" customFormat="1" ht="11.4" x14ac:dyDescent="0.2">
      <c r="B16" s="140" t="s">
        <v>16</v>
      </c>
      <c r="C16" s="27" t="s">
        <v>15</v>
      </c>
      <c r="D16" s="95">
        <f>D13*12/D15</f>
        <v>316.95717255717256</v>
      </c>
      <c r="E16" s="8"/>
      <c r="F16" s="103"/>
      <c r="G16" s="103"/>
    </row>
    <row r="17" spans="2:7" s="7" customFormat="1" ht="11.4" x14ac:dyDescent="0.2">
      <c r="B17" s="141" t="s">
        <v>73</v>
      </c>
      <c r="C17" s="21"/>
      <c r="D17" s="96"/>
      <c r="E17" s="8"/>
      <c r="F17" s="21"/>
      <c r="G17" s="21"/>
    </row>
    <row r="18" spans="2:7" s="7" customFormat="1" ht="11.4" x14ac:dyDescent="0.2">
      <c r="B18" s="10" t="s">
        <v>70</v>
      </c>
      <c r="C18" s="27" t="s">
        <v>64</v>
      </c>
      <c r="D18" s="95">
        <v>42349</v>
      </c>
      <c r="E18" s="8"/>
      <c r="F18" s="27" t="s">
        <v>67</v>
      </c>
      <c r="G18" s="27"/>
    </row>
    <row r="19" spans="2:7" s="7" customFormat="1" ht="11.4" x14ac:dyDescent="0.2">
      <c r="B19" s="10" t="s">
        <v>71</v>
      </c>
      <c r="C19" s="27" t="s">
        <v>69</v>
      </c>
      <c r="D19" s="139">
        <f>D18*(1+$D$6)</f>
        <v>50818.799999999996</v>
      </c>
      <c r="E19" s="8"/>
      <c r="F19" s="27"/>
      <c r="G19" s="27"/>
    </row>
    <row r="20" spans="2:7" s="7" customFormat="1" ht="11.4" x14ac:dyDescent="0.2">
      <c r="B20" s="10" t="s">
        <v>50</v>
      </c>
      <c r="C20" s="27" t="s">
        <v>21</v>
      </c>
      <c r="D20" s="102">
        <v>37</v>
      </c>
      <c r="E20" s="8"/>
      <c r="F20" s="27"/>
      <c r="G20" s="27"/>
    </row>
    <row r="21" spans="2:7" s="7" customFormat="1" ht="11.4" x14ac:dyDescent="0.2">
      <c r="B21" s="10" t="s">
        <v>49</v>
      </c>
      <c r="C21" s="27" t="s">
        <v>21</v>
      </c>
      <c r="D21" s="101">
        <f>D20*52</f>
        <v>1924</v>
      </c>
      <c r="E21" s="8"/>
      <c r="F21" s="27"/>
      <c r="G21" s="27"/>
    </row>
    <row r="22" spans="2:7" s="7" customFormat="1" ht="11.4" x14ac:dyDescent="0.2">
      <c r="B22" s="140" t="s">
        <v>16</v>
      </c>
      <c r="C22" s="27" t="s">
        <v>15</v>
      </c>
      <c r="D22" s="95">
        <f>D19*12/D21</f>
        <v>316.95717255717256</v>
      </c>
      <c r="E22" s="8"/>
      <c r="F22" s="103"/>
      <c r="G22" s="103"/>
    </row>
    <row r="23" spans="2:7" s="7" customFormat="1" ht="11.4" x14ac:dyDescent="0.2">
      <c r="B23" s="141" t="s">
        <v>74</v>
      </c>
      <c r="C23" s="21"/>
      <c r="D23" s="96"/>
      <c r="E23" s="8"/>
      <c r="G23" s="21"/>
    </row>
    <row r="24" spans="2:7" s="7" customFormat="1" ht="11.4" x14ac:dyDescent="0.2">
      <c r="B24" s="10" t="s">
        <v>70</v>
      </c>
      <c r="C24" s="27" t="s">
        <v>64</v>
      </c>
      <c r="D24" s="95">
        <v>49041</v>
      </c>
      <c r="E24" s="8"/>
      <c r="F24" s="27" t="s">
        <v>68</v>
      </c>
      <c r="G24" s="27"/>
    </row>
    <row r="25" spans="2:7" s="7" customFormat="1" ht="11.4" x14ac:dyDescent="0.2">
      <c r="B25" s="10" t="s">
        <v>71</v>
      </c>
      <c r="C25" s="27" t="s">
        <v>69</v>
      </c>
      <c r="D25" s="139">
        <f>D24*(1+$D$6)</f>
        <v>58849.2</v>
      </c>
      <c r="E25" s="8"/>
      <c r="F25" s="27"/>
      <c r="G25" s="27"/>
    </row>
    <row r="26" spans="2:7" s="7" customFormat="1" ht="11.4" x14ac:dyDescent="0.2">
      <c r="B26" s="10" t="s">
        <v>50</v>
      </c>
      <c r="C26" s="27" t="s">
        <v>21</v>
      </c>
      <c r="D26" s="102">
        <v>37</v>
      </c>
      <c r="E26" s="8"/>
      <c r="F26" s="27"/>
      <c r="G26" s="27"/>
    </row>
    <row r="27" spans="2:7" s="7" customFormat="1" ht="11.4" x14ac:dyDescent="0.2">
      <c r="B27" s="10" t="s">
        <v>49</v>
      </c>
      <c r="C27" s="27" t="s">
        <v>21</v>
      </c>
      <c r="D27" s="101">
        <f>D26*52</f>
        <v>1924</v>
      </c>
      <c r="E27" s="8"/>
      <c r="F27" s="27"/>
      <c r="G27" s="27"/>
    </row>
    <row r="28" spans="2:7" s="7" customFormat="1" ht="11.4" x14ac:dyDescent="0.2">
      <c r="B28" s="140" t="s">
        <v>16</v>
      </c>
      <c r="C28" s="27" t="s">
        <v>15</v>
      </c>
      <c r="D28" s="95">
        <f>D25*12/D27</f>
        <v>367.04282744282739</v>
      </c>
      <c r="E28" s="8"/>
      <c r="F28" s="103"/>
      <c r="G28" s="103"/>
    </row>
    <row r="29" spans="2:7" s="7" customFormat="1" ht="11.4" x14ac:dyDescent="0.2">
      <c r="B29" s="29" t="s">
        <v>75</v>
      </c>
      <c r="C29" s="21"/>
      <c r="D29" s="96"/>
      <c r="E29" s="8"/>
      <c r="F29" s="21"/>
      <c r="G29" s="21"/>
    </row>
    <row r="30" spans="2:7" s="7" customFormat="1" ht="11.4" x14ac:dyDescent="0.2">
      <c r="B30" s="10" t="s">
        <v>70</v>
      </c>
      <c r="C30" s="27" t="s">
        <v>64</v>
      </c>
      <c r="D30" s="95">
        <v>56848</v>
      </c>
      <c r="E30" s="8"/>
      <c r="F30" s="27" t="s">
        <v>65</v>
      </c>
      <c r="G30" s="27"/>
    </row>
    <row r="31" spans="2:7" s="7" customFormat="1" ht="11.4" x14ac:dyDescent="0.2">
      <c r="B31" s="10" t="s">
        <v>71</v>
      </c>
      <c r="C31" s="27" t="s">
        <v>69</v>
      </c>
      <c r="D31" s="139">
        <f>D30*(1+$D$6)</f>
        <v>68217.599999999991</v>
      </c>
      <c r="E31" s="8"/>
      <c r="F31" s="27"/>
      <c r="G31" s="27"/>
    </row>
    <row r="32" spans="2:7" s="7" customFormat="1" ht="11.4" x14ac:dyDescent="0.2">
      <c r="B32" s="10" t="s">
        <v>50</v>
      </c>
      <c r="C32" s="27" t="s">
        <v>21</v>
      </c>
      <c r="D32" s="102">
        <v>37</v>
      </c>
      <c r="E32" s="8"/>
      <c r="F32" s="27"/>
      <c r="G32" s="27"/>
    </row>
    <row r="33" spans="2:7" s="7" customFormat="1" ht="11.4" x14ac:dyDescent="0.2">
      <c r="B33" s="10" t="s">
        <v>49</v>
      </c>
      <c r="C33" s="27" t="s">
        <v>21</v>
      </c>
      <c r="D33" s="101">
        <f>D32*52</f>
        <v>1924</v>
      </c>
      <c r="E33" s="8"/>
      <c r="F33" s="27"/>
      <c r="G33" s="27"/>
    </row>
    <row r="34" spans="2:7" s="7" customFormat="1" ht="11.4" x14ac:dyDescent="0.2">
      <c r="B34" s="140" t="s">
        <v>16</v>
      </c>
      <c r="C34" s="27" t="s">
        <v>15</v>
      </c>
      <c r="D34" s="95">
        <f>D31*12/D33</f>
        <v>425.47359667359666</v>
      </c>
      <c r="E34" s="8"/>
      <c r="F34" s="103"/>
      <c r="G34" s="103"/>
    </row>
    <row r="35" spans="2:7" s="7" customFormat="1" ht="11.4" x14ac:dyDescent="0.2">
      <c r="B35" s="141" t="s">
        <v>43</v>
      </c>
      <c r="C35" s="21"/>
      <c r="D35" s="96"/>
      <c r="E35" s="8"/>
      <c r="F35" s="21" t="s">
        <v>66</v>
      </c>
      <c r="G35" s="21"/>
    </row>
    <row r="36" spans="2:7" s="7" customFormat="1" ht="11.4" x14ac:dyDescent="0.2">
      <c r="B36" s="10" t="s">
        <v>70</v>
      </c>
      <c r="C36" s="27" t="s">
        <v>64</v>
      </c>
      <c r="D36" s="95">
        <v>83202</v>
      </c>
      <c r="E36" s="8"/>
      <c r="F36" s="27"/>
      <c r="G36" s="27"/>
    </row>
    <row r="37" spans="2:7" s="7" customFormat="1" ht="11.4" x14ac:dyDescent="0.2">
      <c r="B37" s="10" t="s">
        <v>71</v>
      </c>
      <c r="C37" s="27" t="s">
        <v>69</v>
      </c>
      <c r="D37" s="139">
        <f>D36*(1+$D$6)</f>
        <v>99842.4</v>
      </c>
      <c r="E37" s="8"/>
      <c r="F37" s="27"/>
      <c r="G37" s="27"/>
    </row>
    <row r="38" spans="2:7" s="7" customFormat="1" ht="11.4" x14ac:dyDescent="0.2">
      <c r="B38" s="10" t="s">
        <v>50</v>
      </c>
      <c r="C38" s="27" t="s">
        <v>21</v>
      </c>
      <c r="D38" s="102">
        <v>37</v>
      </c>
      <c r="E38" s="8"/>
      <c r="F38" s="27"/>
      <c r="G38" s="27"/>
    </row>
    <row r="39" spans="2:7" s="7" customFormat="1" ht="11.4" x14ac:dyDescent="0.2">
      <c r="B39" s="10" t="s">
        <v>49</v>
      </c>
      <c r="C39" s="27" t="s">
        <v>21</v>
      </c>
      <c r="D39" s="101">
        <f>D38*52</f>
        <v>1924</v>
      </c>
      <c r="E39" s="8"/>
      <c r="F39" s="27"/>
      <c r="G39" s="27"/>
    </row>
    <row r="40" spans="2:7" ht="11.4" x14ac:dyDescent="0.2">
      <c r="B40" s="140" t="s">
        <v>16</v>
      </c>
      <c r="C40" s="27" t="s">
        <v>15</v>
      </c>
      <c r="D40" s="95">
        <f>D37*12/D39</f>
        <v>622.71767151767142</v>
      </c>
      <c r="E40" s="8"/>
      <c r="F40" s="103"/>
      <c r="G40" s="103"/>
    </row>
    <row r="41" spans="2:7" ht="11.4" x14ac:dyDescent="0.2"/>
    <row r="42" spans="2:7" ht="11.4" x14ac:dyDescent="0.2"/>
    <row r="43" spans="2:7" ht="11.4" x14ac:dyDescent="0.2"/>
    <row r="44" spans="2:7" ht="11.4" x14ac:dyDescent="0.2"/>
    <row r="45" spans="2:7" ht="11.4" x14ac:dyDescent="0.2"/>
    <row r="46" spans="2:7" ht="11.4" x14ac:dyDescent="0.2"/>
    <row r="47" spans="2:7" ht="11.4" x14ac:dyDescent="0.2">
      <c r="F47" s="147"/>
    </row>
    <row r="48" spans="2:7" ht="11.4" x14ac:dyDescent="0.2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workbookViewId="0">
      <selection activeCell="D20" sqref="D20"/>
    </sheetView>
  </sheetViews>
  <sheetFormatPr defaultColWidth="0" defaultRowHeight="0" customHeight="1" zeroHeight="1" x14ac:dyDescent="0.2"/>
  <cols>
    <col min="1" max="1" width="2.5546875" style="35" customWidth="1"/>
    <col min="2" max="2" width="58.5546875" style="1" customWidth="1"/>
    <col min="3" max="3" width="12.6640625" style="1" bestFit="1" customWidth="1"/>
    <col min="4" max="4" width="20.109375" style="1" customWidth="1"/>
    <col min="5" max="5" width="14.5546875" style="1" bestFit="1" customWidth="1"/>
    <col min="6" max="8" width="11.109375" style="1" customWidth="1"/>
    <col min="9" max="12" width="0" style="1" hidden="1" customWidth="1"/>
    <col min="13" max="16384" width="11.109375" style="1" hidden="1"/>
  </cols>
  <sheetData>
    <row r="1" spans="1:7" ht="19.5" customHeight="1" x14ac:dyDescent="0.3">
      <c r="B1" s="2" t="s">
        <v>17</v>
      </c>
      <c r="C1" s="4"/>
      <c r="D1" s="4"/>
      <c r="E1" s="4"/>
      <c r="F1" s="4"/>
      <c r="G1" s="4"/>
    </row>
    <row r="2" spans="1:7" ht="23.25" customHeight="1" x14ac:dyDescent="0.2">
      <c r="B2" s="18" t="s">
        <v>36</v>
      </c>
      <c r="C2" s="4"/>
      <c r="D2" s="4"/>
      <c r="E2" s="4"/>
      <c r="F2" s="5" t="s">
        <v>1</v>
      </c>
      <c r="G2" s="5"/>
    </row>
    <row r="3" spans="1:7" ht="11.4" x14ac:dyDescent="0.2"/>
    <row r="4" spans="1:7" s="7" customFormat="1" ht="11.4" x14ac:dyDescent="0.2">
      <c r="A4" s="22"/>
      <c r="B4" s="39" t="s">
        <v>18</v>
      </c>
      <c r="C4" s="40"/>
      <c r="D4" s="40"/>
      <c r="E4" s="40"/>
      <c r="F4" s="40"/>
      <c r="G4" s="40"/>
    </row>
    <row r="5" spans="1:7" ht="11.4" x14ac:dyDescent="0.2"/>
    <row r="6" spans="1:7" s="7" customFormat="1" ht="11.4" x14ac:dyDescent="0.2">
      <c r="A6" s="22"/>
      <c r="B6" s="47" t="s">
        <v>19</v>
      </c>
      <c r="C6" s="48"/>
      <c r="D6" s="49"/>
      <c r="E6" s="50"/>
      <c r="F6" s="50"/>
      <c r="G6" s="50"/>
    </row>
    <row r="7" spans="1:7" ht="11.4" x14ac:dyDescent="0.2">
      <c r="B7" s="29" t="s">
        <v>73</v>
      </c>
      <c r="E7" s="16"/>
      <c r="F7" s="16"/>
      <c r="G7" s="16"/>
    </row>
    <row r="8" spans="1:7" ht="11.4" x14ac:dyDescent="0.2">
      <c r="B8" s="37" t="s">
        <v>20</v>
      </c>
      <c r="C8" s="23" t="s">
        <v>21</v>
      </c>
      <c r="D8" s="14">
        <f>18+8</f>
        <v>26</v>
      </c>
      <c r="E8" s="16"/>
      <c r="F8" s="16"/>
      <c r="G8" s="16"/>
    </row>
    <row r="9" spans="1:7" ht="11.4" x14ac:dyDescent="0.2">
      <c r="B9" s="29" t="s">
        <v>73</v>
      </c>
      <c r="C9" s="23"/>
      <c r="D9" s="14"/>
      <c r="E9" s="16"/>
      <c r="F9" s="16"/>
      <c r="G9" s="16"/>
    </row>
    <row r="10" spans="1:7" ht="11.4" x14ac:dyDescent="0.2">
      <c r="B10" s="37" t="s">
        <v>20</v>
      </c>
      <c r="C10" s="23" t="s">
        <v>21</v>
      </c>
      <c r="D10" s="14">
        <f>18+8</f>
        <v>26</v>
      </c>
      <c r="E10" s="16"/>
      <c r="F10" s="16"/>
      <c r="G10" s="16"/>
    </row>
    <row r="11" spans="1:7" ht="11.4" x14ac:dyDescent="0.2">
      <c r="B11" s="29" t="s">
        <v>74</v>
      </c>
      <c r="C11" s="23"/>
      <c r="D11" s="14"/>
      <c r="E11" s="14"/>
      <c r="F11" s="14"/>
      <c r="G11" s="14"/>
    </row>
    <row r="12" spans="1:7" ht="11.4" x14ac:dyDescent="0.2">
      <c r="B12" s="37" t="s">
        <v>20</v>
      </c>
      <c r="C12" s="23" t="s">
        <v>21</v>
      </c>
      <c r="D12" s="14">
        <f>18+8</f>
        <v>26</v>
      </c>
      <c r="E12" s="16"/>
      <c r="F12" s="16"/>
      <c r="G12" s="16"/>
    </row>
    <row r="13" spans="1:7" ht="11.4" x14ac:dyDescent="0.2">
      <c r="B13" s="29" t="s">
        <v>75</v>
      </c>
      <c r="C13" s="23"/>
      <c r="D13" s="14"/>
      <c r="E13" s="16"/>
      <c r="F13" s="14"/>
      <c r="G13" s="14"/>
    </row>
    <row r="14" spans="1:7" ht="11.4" x14ac:dyDescent="0.2">
      <c r="B14" s="37" t="s">
        <v>20</v>
      </c>
      <c r="C14" s="23" t="s">
        <v>21</v>
      </c>
      <c r="D14" s="14">
        <f>18+16+8</f>
        <v>42</v>
      </c>
      <c r="E14" s="16"/>
      <c r="F14" s="14"/>
      <c r="G14" s="14"/>
    </row>
    <row r="15" spans="1:7" ht="11.4" x14ac:dyDescent="0.2">
      <c r="B15" s="29" t="s">
        <v>43</v>
      </c>
      <c r="C15" s="23"/>
      <c r="D15" s="14"/>
      <c r="E15" s="16"/>
      <c r="F15" s="14"/>
      <c r="G15" s="14"/>
    </row>
    <row r="16" spans="1:7" ht="11.4" x14ac:dyDescent="0.2">
      <c r="B16" s="37" t="s">
        <v>20</v>
      </c>
      <c r="C16" s="23" t="s">
        <v>21</v>
      </c>
      <c r="D16" s="14">
        <v>4</v>
      </c>
      <c r="E16" s="16"/>
      <c r="F16" s="14"/>
      <c r="G16" s="14"/>
    </row>
    <row r="17" spans="1:7" ht="11.4" x14ac:dyDescent="0.2">
      <c r="B17" s="37"/>
      <c r="C17" s="23"/>
      <c r="D17" s="14"/>
      <c r="E17" s="16"/>
      <c r="F17" s="16"/>
      <c r="G17" s="14"/>
    </row>
    <row r="18" spans="1:7" ht="11.4" x14ac:dyDescent="0.2">
      <c r="B18" s="93" t="s">
        <v>45</v>
      </c>
      <c r="C18" s="23" t="s">
        <v>24</v>
      </c>
      <c r="D18" s="97">
        <v>41154</v>
      </c>
      <c r="E18" s="16"/>
      <c r="F18" s="16"/>
      <c r="G18" s="14"/>
    </row>
    <row r="19" spans="1:7" ht="11.4" x14ac:dyDescent="0.2">
      <c r="B19" s="93" t="s">
        <v>46</v>
      </c>
      <c r="C19" s="23" t="s">
        <v>24</v>
      </c>
      <c r="D19" s="97">
        <v>27567</v>
      </c>
      <c r="E19" s="16"/>
      <c r="F19" s="16"/>
      <c r="G19" s="14"/>
    </row>
    <row r="20" spans="1:7" ht="11.4" x14ac:dyDescent="0.2">
      <c r="B20" s="94" t="s">
        <v>47</v>
      </c>
      <c r="C20" s="24" t="s">
        <v>24</v>
      </c>
      <c r="D20" s="98">
        <v>12000</v>
      </c>
      <c r="E20" s="36"/>
      <c r="F20" s="36"/>
      <c r="G20" s="25"/>
    </row>
    <row r="21" spans="1:7" ht="11.4" x14ac:dyDescent="0.2">
      <c r="D21" s="17"/>
    </row>
    <row r="22" spans="1:7" s="7" customFormat="1" ht="11.4" x14ac:dyDescent="0.2">
      <c r="A22" s="22"/>
      <c r="B22" s="47" t="s">
        <v>22</v>
      </c>
      <c r="C22" s="48"/>
      <c r="D22" s="49" t="s">
        <v>56</v>
      </c>
      <c r="E22" s="47" t="s">
        <v>55</v>
      </c>
      <c r="F22" s="50"/>
      <c r="G22" s="50"/>
    </row>
    <row r="23" spans="1:7" ht="11.4" x14ac:dyDescent="0.2">
      <c r="B23" s="29" t="s">
        <v>73</v>
      </c>
      <c r="C23" s="23"/>
      <c r="D23" s="14"/>
      <c r="E23" s="16"/>
      <c r="F23" s="16"/>
      <c r="G23" s="16"/>
    </row>
    <row r="24" spans="1:7" ht="11.4" x14ac:dyDescent="0.2">
      <c r="B24" s="37" t="s">
        <v>20</v>
      </c>
      <c r="C24" s="23" t="s">
        <v>42</v>
      </c>
      <c r="D24" s="108">
        <f>'Generelle antagelser'!D14</f>
        <v>30</v>
      </c>
      <c r="E24" s="16"/>
      <c r="F24" s="16"/>
      <c r="G24" s="16"/>
    </row>
    <row r="25" spans="1:7" ht="11.4" x14ac:dyDescent="0.2">
      <c r="B25" s="29" t="s">
        <v>73</v>
      </c>
      <c r="C25" s="23"/>
      <c r="D25" s="14"/>
      <c r="E25" s="16"/>
      <c r="F25" s="16"/>
      <c r="G25" s="16"/>
    </row>
    <row r="26" spans="1:7" ht="11.4" x14ac:dyDescent="0.2">
      <c r="B26" s="37" t="s">
        <v>20</v>
      </c>
      <c r="C26" s="23" t="s">
        <v>42</v>
      </c>
      <c r="D26" s="108">
        <f>'Generelle antagelser'!D20</f>
        <v>37</v>
      </c>
      <c r="E26" s="16"/>
      <c r="F26" s="16"/>
      <c r="G26" s="16"/>
    </row>
    <row r="27" spans="1:7" ht="11.4" x14ac:dyDescent="0.2">
      <c r="B27" s="29" t="s">
        <v>74</v>
      </c>
      <c r="C27" s="23"/>
      <c r="D27" s="14"/>
      <c r="E27" s="16"/>
      <c r="F27" s="16"/>
      <c r="G27" s="16"/>
    </row>
    <row r="28" spans="1:7" ht="11.4" x14ac:dyDescent="0.2">
      <c r="B28" s="37" t="s">
        <v>20</v>
      </c>
      <c r="C28" s="23" t="s">
        <v>42</v>
      </c>
      <c r="E28" s="14">
        <f>'Generelle antagelser'!D26/2</f>
        <v>18.5</v>
      </c>
      <c r="F28" s="16"/>
      <c r="G28" s="16"/>
    </row>
    <row r="29" spans="1:7" ht="11.4" x14ac:dyDescent="0.2">
      <c r="B29" s="29" t="s">
        <v>74</v>
      </c>
      <c r="C29" s="23"/>
      <c r="E29" s="14"/>
      <c r="F29" s="16"/>
      <c r="G29" s="16"/>
    </row>
    <row r="30" spans="1:7" ht="11.4" x14ac:dyDescent="0.2">
      <c r="B30" s="106" t="s">
        <v>20</v>
      </c>
      <c r="C30" s="92" t="s">
        <v>42</v>
      </c>
      <c r="E30" s="109">
        <f>'Generelle antagelser'!D26/2</f>
        <v>18.5</v>
      </c>
      <c r="F30" s="107"/>
      <c r="G30" s="107"/>
    </row>
    <row r="31" spans="1:7" ht="11.4" x14ac:dyDescent="0.2">
      <c r="B31" s="29" t="s">
        <v>75</v>
      </c>
      <c r="C31" s="23"/>
      <c r="D31" s="14"/>
      <c r="E31" s="107"/>
      <c r="F31" s="107"/>
      <c r="G31" s="107"/>
    </row>
    <row r="32" spans="1:7" ht="11.4" x14ac:dyDescent="0.2">
      <c r="B32" s="37" t="s">
        <v>20</v>
      </c>
      <c r="C32" s="23" t="s">
        <v>42</v>
      </c>
      <c r="D32" s="14"/>
      <c r="E32" s="107"/>
      <c r="F32" s="107"/>
      <c r="G32" s="107"/>
    </row>
    <row r="33" spans="1:7" ht="11.4" x14ac:dyDescent="0.2">
      <c r="B33" s="29" t="s">
        <v>43</v>
      </c>
      <c r="C33" s="23"/>
      <c r="D33" s="14"/>
      <c r="E33" s="107"/>
      <c r="F33" s="107"/>
      <c r="G33" s="107"/>
    </row>
    <row r="34" spans="1:7" ht="11.4" x14ac:dyDescent="0.2">
      <c r="B34" s="38" t="s">
        <v>20</v>
      </c>
      <c r="C34" s="24" t="s">
        <v>42</v>
      </c>
      <c r="D34" s="25"/>
      <c r="E34" s="25"/>
      <c r="F34" s="25"/>
      <c r="G34" s="25"/>
    </row>
    <row r="35" spans="1:7" ht="11.4" x14ac:dyDescent="0.2">
      <c r="B35" s="106"/>
      <c r="C35" s="92"/>
      <c r="D35" s="107"/>
      <c r="E35" s="107"/>
      <c r="F35" s="107"/>
      <c r="G35" s="107"/>
    </row>
    <row r="36" spans="1:7" s="7" customFormat="1" ht="11.4" x14ac:dyDescent="0.2">
      <c r="A36" s="22"/>
      <c r="B36" s="47" t="s">
        <v>23</v>
      </c>
      <c r="C36" s="48"/>
      <c r="D36" s="49" t="s">
        <v>56</v>
      </c>
      <c r="E36" s="47" t="s">
        <v>55</v>
      </c>
      <c r="F36" s="50"/>
      <c r="G36" s="50"/>
    </row>
    <row r="37" spans="1:7" ht="11.4" x14ac:dyDescent="0.2">
      <c r="B37" s="136" t="s">
        <v>25</v>
      </c>
      <c r="C37" s="23" t="s">
        <v>24</v>
      </c>
      <c r="D37" s="99">
        <v>13000</v>
      </c>
      <c r="E37" s="99">
        <v>13000</v>
      </c>
      <c r="F37" s="20"/>
      <c r="G37" s="20"/>
    </row>
    <row r="38" spans="1:7" ht="11.4" x14ac:dyDescent="0.2">
      <c r="B38" s="136" t="s">
        <v>44</v>
      </c>
      <c r="C38" s="23" t="s">
        <v>24</v>
      </c>
      <c r="D38" s="99">
        <v>39531</v>
      </c>
      <c r="E38" s="20"/>
      <c r="F38" s="20"/>
      <c r="G38" s="20"/>
    </row>
    <row r="39" spans="1:7" ht="11.4" x14ac:dyDescent="0.2">
      <c r="B39" s="137" t="s">
        <v>48</v>
      </c>
      <c r="C39" s="24" t="s">
        <v>24</v>
      </c>
      <c r="D39" s="26"/>
      <c r="E39" s="100">
        <v>90000</v>
      </c>
      <c r="F39" s="31"/>
      <c r="G39" s="31"/>
    </row>
    <row r="40" spans="1:7" ht="11.4" x14ac:dyDescent="0.2"/>
    <row r="41" spans="1:7" ht="11.4" x14ac:dyDescent="0.2">
      <c r="B41" s="43"/>
      <c r="C41" s="41"/>
      <c r="D41" s="42"/>
      <c r="E41" s="42"/>
      <c r="F41" s="42"/>
      <c r="G41" s="42"/>
    </row>
    <row r="42" spans="1:7" ht="11.4" x14ac:dyDescent="0.2"/>
    <row r="43" spans="1:7" ht="11.4" x14ac:dyDescent="0.2"/>
    <row r="44" spans="1:7" ht="11.4" x14ac:dyDescent="0.2"/>
    <row r="45" spans="1:7" ht="11.4" x14ac:dyDescent="0.2"/>
    <row r="46" spans="1:7" ht="11.4" x14ac:dyDescent="0.2"/>
    <row r="47" spans="1:7" ht="11.4" x14ac:dyDescent="0.2"/>
    <row r="48" spans="1:7" ht="11.4" x14ac:dyDescent="0.2"/>
    <row r="49" ht="11.4" x14ac:dyDescent="0.2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showGridLines="0" zoomScaleNormal="100" workbookViewId="0">
      <selection activeCell="E55" sqref="E55"/>
    </sheetView>
  </sheetViews>
  <sheetFormatPr defaultColWidth="0" defaultRowHeight="0" customHeight="1" zeroHeight="1" x14ac:dyDescent="0.2"/>
  <cols>
    <col min="1" max="1" width="2.5546875" style="15" customWidth="1"/>
    <col min="2" max="2" width="57.109375" style="15" customWidth="1"/>
    <col min="3" max="3" width="19.109375" style="15" customWidth="1"/>
    <col min="4" max="5" width="22.6640625" style="15" customWidth="1"/>
    <col min="6" max="6" width="16" style="15" customWidth="1"/>
    <col min="7" max="7" width="20.44140625" style="15" bestFit="1" customWidth="1"/>
    <col min="8" max="8" width="19.5546875" style="15" customWidth="1"/>
    <col min="9" max="9" width="9.109375" style="15" customWidth="1"/>
    <col min="10" max="10" width="14.5546875" style="15" hidden="1" customWidth="1"/>
    <col min="11" max="11" width="16" style="15" hidden="1" customWidth="1"/>
    <col min="12" max="12" width="15" style="15" hidden="1" customWidth="1"/>
    <col min="13" max="16384" width="9.109375" style="15" hidden="1"/>
  </cols>
  <sheetData>
    <row r="1" spans="1:8" ht="19.5" customHeight="1" x14ac:dyDescent="0.3">
      <c r="B1" s="51" t="s">
        <v>82</v>
      </c>
      <c r="C1" s="52"/>
      <c r="D1" s="52"/>
      <c r="E1" s="52"/>
      <c r="F1" s="52"/>
      <c r="G1" s="52"/>
      <c r="H1" s="52"/>
    </row>
    <row r="2" spans="1:8" ht="23.25" customHeight="1" x14ac:dyDescent="0.2">
      <c r="B2" s="18" t="s">
        <v>36</v>
      </c>
      <c r="C2" s="52"/>
      <c r="D2" s="52"/>
      <c r="E2" s="52"/>
      <c r="F2" s="52"/>
      <c r="G2" s="52"/>
      <c r="H2" s="52"/>
    </row>
    <row r="3" spans="1:8" s="55" customFormat="1" ht="11.4" x14ac:dyDescent="0.2">
      <c r="A3" s="69"/>
      <c r="B3" s="69"/>
      <c r="C3" s="70"/>
      <c r="D3" s="68"/>
      <c r="E3" s="68"/>
      <c r="F3" s="68"/>
      <c r="G3" s="69"/>
      <c r="H3" s="68"/>
    </row>
    <row r="4" spans="1:8" s="55" customFormat="1" ht="11.4" x14ac:dyDescent="0.2">
      <c r="A4" s="69"/>
      <c r="B4" s="44" t="s">
        <v>26</v>
      </c>
      <c r="C4" s="53"/>
      <c r="D4" s="66"/>
      <c r="E4" s="66"/>
      <c r="F4" s="66"/>
      <c r="G4" s="66"/>
      <c r="H4" s="44"/>
    </row>
    <row r="5" spans="1:8" s="55" customFormat="1" ht="11.4" x14ac:dyDescent="0.2">
      <c r="A5" s="69"/>
      <c r="B5" s="56" t="s">
        <v>35</v>
      </c>
      <c r="C5" s="56"/>
      <c r="D5" s="72" t="s">
        <v>7</v>
      </c>
      <c r="E5" s="73"/>
      <c r="F5" s="73"/>
      <c r="G5" s="73"/>
      <c r="H5" s="67" t="s">
        <v>28</v>
      </c>
    </row>
    <row r="6" spans="1:8" s="55" customFormat="1" ht="11.4" x14ac:dyDescent="0.2">
      <c r="A6" s="69"/>
      <c r="B6" s="19" t="s">
        <v>73</v>
      </c>
      <c r="D6" s="57" t="s">
        <v>24</v>
      </c>
      <c r="E6" s="104">
        <f>MROUND(Input!D8*'Generelle antagelser'!D16+Input!D10*'Generelle antagelser'!D22,100)</f>
        <v>16500</v>
      </c>
      <c r="F6" s="104"/>
      <c r="G6" s="67"/>
      <c r="H6" s="75">
        <f>E6/$E$13</f>
        <v>0.12981904012588513</v>
      </c>
    </row>
    <row r="7" spans="1:8" s="55" customFormat="1" ht="11.4" x14ac:dyDescent="0.2">
      <c r="A7" s="69"/>
      <c r="B7" s="19" t="s">
        <v>74</v>
      </c>
      <c r="D7" s="57" t="s">
        <v>24</v>
      </c>
      <c r="E7" s="104">
        <f>MROUND(Input!D12*'Generelle antagelser'!D28,100)</f>
        <v>9500</v>
      </c>
      <c r="F7" s="104"/>
      <c r="G7" s="67"/>
      <c r="H7" s="75">
        <f>E7/$E$13</f>
        <v>7.4744295830055069E-2</v>
      </c>
    </row>
    <row r="8" spans="1:8" s="55" customFormat="1" ht="11.4" x14ac:dyDescent="0.2">
      <c r="A8" s="69"/>
      <c r="B8" s="19" t="s">
        <v>75</v>
      </c>
      <c r="D8" s="57" t="s">
        <v>24</v>
      </c>
      <c r="E8" s="104">
        <f>MROUND(Input!D14*'Generelle antagelser'!D34,100)</f>
        <v>17900</v>
      </c>
      <c r="F8" s="104"/>
      <c r="G8" s="67"/>
      <c r="H8" s="75">
        <f>E8/$E$13</f>
        <v>0.14083398898505115</v>
      </c>
    </row>
    <row r="9" spans="1:8" s="55" customFormat="1" ht="11.4" x14ac:dyDescent="0.2">
      <c r="A9" s="69"/>
      <c r="B9" s="19" t="s">
        <v>43</v>
      </c>
      <c r="D9" s="57" t="s">
        <v>24</v>
      </c>
      <c r="E9" s="104">
        <f>MROUND(Input!D16*'Generelle antagelser'!D40,100)</f>
        <v>2500</v>
      </c>
      <c r="F9" s="104"/>
      <c r="G9" s="67"/>
      <c r="H9" s="75">
        <f>E9/$E$13</f>
        <v>1.9669551534225019E-2</v>
      </c>
    </row>
    <row r="10" spans="1:8" s="55" customFormat="1" ht="11.4" x14ac:dyDescent="0.2">
      <c r="A10" s="69"/>
      <c r="E10" s="56"/>
      <c r="F10" s="56"/>
      <c r="G10" s="56"/>
      <c r="H10" s="56"/>
    </row>
    <row r="11" spans="1:8" s="55" customFormat="1" ht="11.4" x14ac:dyDescent="0.2">
      <c r="A11" s="69"/>
      <c r="B11" s="71" t="s">
        <v>29</v>
      </c>
      <c r="C11" s="131"/>
      <c r="D11" s="57" t="s">
        <v>24</v>
      </c>
      <c r="E11" s="104">
        <f>MROUND(SUM(Input!D18:D20),100)</f>
        <v>80700</v>
      </c>
      <c r="F11" s="104"/>
      <c r="G11" s="67"/>
      <c r="H11" s="75">
        <f>E11/$E$13</f>
        <v>0.63493312352478359</v>
      </c>
    </row>
    <row r="12" spans="1:8" s="55" customFormat="1" ht="11.4" x14ac:dyDescent="0.2">
      <c r="A12" s="69"/>
      <c r="B12" s="77" t="s">
        <v>30</v>
      </c>
      <c r="C12" s="132"/>
      <c r="D12" s="59" t="s">
        <v>24</v>
      </c>
      <c r="E12" s="110">
        <f>SUM(E6:E9)</f>
        <v>46400</v>
      </c>
      <c r="F12" s="110"/>
      <c r="G12" s="78"/>
      <c r="H12" s="79"/>
    </row>
    <row r="13" spans="1:8" s="55" customFormat="1" ht="12" thickBot="1" x14ac:dyDescent="0.25">
      <c r="A13" s="69"/>
      <c r="B13" s="60" t="s">
        <v>54</v>
      </c>
      <c r="C13" s="60"/>
      <c r="D13" s="61" t="s">
        <v>24</v>
      </c>
      <c r="E13" s="112">
        <f>SUM(E6:E11)</f>
        <v>127100</v>
      </c>
      <c r="F13" s="112"/>
      <c r="G13" s="63"/>
      <c r="H13" s="134"/>
    </row>
    <row r="14" spans="1:8" s="55" customFormat="1" ht="11.4" x14ac:dyDescent="0.2">
      <c r="A14" s="69"/>
      <c r="B14" s="71"/>
      <c r="D14" s="57"/>
      <c r="E14" s="74"/>
      <c r="F14" s="74"/>
      <c r="G14" s="67"/>
      <c r="H14" s="56"/>
    </row>
    <row r="15" spans="1:8" ht="11.4" x14ac:dyDescent="0.2">
      <c r="B15" s="56" t="s">
        <v>27</v>
      </c>
      <c r="C15" s="133"/>
      <c r="D15" s="72" t="s">
        <v>7</v>
      </c>
      <c r="E15" s="73" t="s">
        <v>56</v>
      </c>
      <c r="F15" s="67" t="s">
        <v>28</v>
      </c>
      <c r="G15" s="73" t="s">
        <v>55</v>
      </c>
      <c r="H15" s="67" t="s">
        <v>28</v>
      </c>
    </row>
    <row r="16" spans="1:8" s="55" customFormat="1" ht="11.4" x14ac:dyDescent="0.2">
      <c r="A16" s="69"/>
      <c r="B16" s="19" t="s">
        <v>73</v>
      </c>
      <c r="D16" s="57" t="s">
        <v>24</v>
      </c>
      <c r="E16" s="104">
        <f>MROUND((Input!D24*'Generelle antagelser'!D16+Input!D26*'Generelle antagelser'!D22)*52,100)</f>
        <v>1104300</v>
      </c>
      <c r="F16" s="113">
        <f>E16/$E$21</f>
        <v>0.95461618257261416</v>
      </c>
      <c r="G16" s="67"/>
      <c r="H16" s="75">
        <f>G16/$G$21</f>
        <v>0</v>
      </c>
    </row>
    <row r="17" spans="1:8" s="55" customFormat="1" ht="11.4" x14ac:dyDescent="0.2">
      <c r="A17" s="69"/>
      <c r="B17" s="19" t="s">
        <v>74</v>
      </c>
      <c r="D17" s="57" t="s">
        <v>24</v>
      </c>
      <c r="E17" s="104"/>
      <c r="F17" s="113">
        <f>E17/$E$21</f>
        <v>0</v>
      </c>
      <c r="G17" s="74">
        <f>(Input!E28+Input!E30)*'Generelle antagelser'!D28*52</f>
        <v>706190.39999999991</v>
      </c>
      <c r="H17" s="75">
        <f>G17/$G$21</f>
        <v>0.87270192782995537</v>
      </c>
    </row>
    <row r="18" spans="1:8" s="55" customFormat="1" ht="11.4" x14ac:dyDescent="0.2">
      <c r="A18" s="69"/>
      <c r="B18" s="19"/>
      <c r="D18" s="57"/>
      <c r="E18" s="104"/>
      <c r="F18" s="113"/>
      <c r="G18" s="67"/>
      <c r="H18" s="75"/>
    </row>
    <row r="19" spans="1:8" s="55" customFormat="1" ht="11.4" x14ac:dyDescent="0.2">
      <c r="A19" s="69"/>
      <c r="B19" s="71" t="s">
        <v>29</v>
      </c>
      <c r="C19" s="131"/>
      <c r="D19" s="57" t="s">
        <v>24</v>
      </c>
      <c r="E19" s="104">
        <f>MROUND(SUM(Input!D37:D39),100)</f>
        <v>52500</v>
      </c>
      <c r="F19" s="113">
        <f>E19/$E$21</f>
        <v>4.538381742738589E-2</v>
      </c>
      <c r="G19" s="104">
        <f>MROUND(SUM(Input!E37:E39),100)</f>
        <v>103000</v>
      </c>
      <c r="H19" s="75">
        <f>G19/$G$21</f>
        <v>0.1272862086010875</v>
      </c>
    </row>
    <row r="20" spans="1:8" s="55" customFormat="1" ht="11.4" x14ac:dyDescent="0.2">
      <c r="A20" s="69"/>
      <c r="B20" s="77" t="s">
        <v>30</v>
      </c>
      <c r="C20" s="132"/>
      <c r="D20" s="59" t="s">
        <v>24</v>
      </c>
      <c r="E20" s="110">
        <f>MROUND(SUM(E16:E18),100)</f>
        <v>1104300</v>
      </c>
      <c r="F20" s="110"/>
      <c r="G20" s="110">
        <f>MROUND(SUM(G15:G18),100)</f>
        <v>706200</v>
      </c>
      <c r="H20" s="79"/>
    </row>
    <row r="21" spans="1:8" s="55" customFormat="1" ht="11.4" x14ac:dyDescent="0.2">
      <c r="A21" s="69"/>
      <c r="B21" s="58" t="s">
        <v>31</v>
      </c>
      <c r="C21" s="132"/>
      <c r="D21" s="59" t="s">
        <v>24</v>
      </c>
      <c r="E21" s="111">
        <f>MROUND(SUM(E16:E19),100)</f>
        <v>1156800</v>
      </c>
      <c r="F21" s="111"/>
      <c r="G21" s="111">
        <f>G20+G19</f>
        <v>809200</v>
      </c>
      <c r="H21" s="65"/>
    </row>
    <row r="22" spans="1:8" s="55" customFormat="1" ht="11.4" x14ac:dyDescent="0.2">
      <c r="A22" s="69"/>
      <c r="B22" s="132" t="s">
        <v>60</v>
      </c>
      <c r="C22" s="132"/>
      <c r="D22" s="135" t="s">
        <v>24</v>
      </c>
      <c r="E22" s="110">
        <f>E21/Indsatsen!E5</f>
        <v>4466.4092664092668</v>
      </c>
      <c r="F22" s="110"/>
      <c r="G22" s="110">
        <f>G21/Indsatsen!E6</f>
        <v>9409.3023255813951</v>
      </c>
      <c r="H22" s="79"/>
    </row>
    <row r="23" spans="1:8" s="55" customFormat="1" ht="12" thickBot="1" x14ac:dyDescent="0.25">
      <c r="A23" s="69"/>
      <c r="B23" s="60" t="s">
        <v>61</v>
      </c>
      <c r="C23" s="60"/>
      <c r="D23" s="61"/>
      <c r="E23" s="112">
        <f>E22/Indsatsen!E9</f>
        <v>1488.8030888030889</v>
      </c>
      <c r="F23" s="112"/>
      <c r="G23" s="112">
        <f>G22/Indsatsen!E10</f>
        <v>1045.4780361757105</v>
      </c>
      <c r="H23" s="64"/>
    </row>
    <row r="24" spans="1:8" s="55" customFormat="1" ht="11.4" x14ac:dyDescent="0.2">
      <c r="A24" s="69"/>
      <c r="B24" s="130"/>
      <c r="C24" s="130"/>
      <c r="D24" s="142"/>
      <c r="E24" s="143"/>
      <c r="F24" s="143"/>
      <c r="G24" s="143"/>
      <c r="H24" s="144"/>
    </row>
    <row r="25" spans="1:8" s="55" customFormat="1" ht="11.4" x14ac:dyDescent="0.2">
      <c r="A25" s="69"/>
      <c r="B25" s="130"/>
      <c r="C25" s="130"/>
      <c r="D25" s="142"/>
      <c r="E25" s="143"/>
      <c r="F25" s="143"/>
      <c r="G25" s="143"/>
      <c r="H25" s="144"/>
    </row>
    <row r="26" spans="1:8" s="55" customFormat="1" ht="11.4" x14ac:dyDescent="0.2">
      <c r="A26" s="69"/>
      <c r="B26" s="144" t="s">
        <v>76</v>
      </c>
      <c r="C26" s="144"/>
      <c r="D26" s="154" t="s">
        <v>51</v>
      </c>
      <c r="E26" s="143">
        <f>E21+G21</f>
        <v>1966000</v>
      </c>
      <c r="F26" s="143"/>
      <c r="G26" s="143"/>
      <c r="H26" s="144"/>
    </row>
    <row r="27" spans="1:8" s="155" customFormat="1" ht="11.4" x14ac:dyDescent="0.2">
      <c r="B27" s="146"/>
      <c r="C27" s="146"/>
      <c r="D27" s="156"/>
      <c r="E27" s="145"/>
      <c r="F27" s="145"/>
      <c r="G27" s="145"/>
      <c r="H27" s="146"/>
    </row>
    <row r="28" spans="1:8" s="55" customFormat="1" ht="11.4" x14ac:dyDescent="0.2">
      <c r="B28" s="44" t="s">
        <v>32</v>
      </c>
      <c r="C28" s="54"/>
      <c r="D28" s="54"/>
      <c r="E28" s="54"/>
      <c r="F28" s="54"/>
      <c r="G28" s="53"/>
      <c r="H28" s="53"/>
    </row>
    <row r="29" spans="1:8" ht="11.4" x14ac:dyDescent="0.2"/>
    <row r="30" spans="1:8" ht="11.4" x14ac:dyDescent="0.2">
      <c r="B30" s="55" t="s">
        <v>57</v>
      </c>
    </row>
    <row r="31" spans="1:8" ht="11.4" x14ac:dyDescent="0.2">
      <c r="B31" s="121"/>
      <c r="C31" s="158" t="s">
        <v>56</v>
      </c>
      <c r="D31" s="158"/>
      <c r="E31" s="159"/>
      <c r="F31" s="160" t="s">
        <v>55</v>
      </c>
      <c r="G31" s="158"/>
      <c r="H31" s="159"/>
    </row>
    <row r="32" spans="1:8" ht="11.4" x14ac:dyDescent="0.2">
      <c r="B32" s="119" t="s">
        <v>33</v>
      </c>
      <c r="C32" s="62" t="s">
        <v>34</v>
      </c>
      <c r="D32" s="62" t="s">
        <v>52</v>
      </c>
      <c r="E32" s="62" t="s">
        <v>60</v>
      </c>
      <c r="F32" s="62" t="s">
        <v>34</v>
      </c>
      <c r="G32" s="62" t="s">
        <v>52</v>
      </c>
      <c r="H32" s="62" t="s">
        <v>60</v>
      </c>
    </row>
    <row r="33" spans="2:8" ht="11.4" x14ac:dyDescent="0.2">
      <c r="B33" s="122">
        <v>-0.2</v>
      </c>
      <c r="C33" s="116">
        <f>C34*(1+B33)+E19</f>
        <v>977940</v>
      </c>
      <c r="D33" s="116">
        <f>MROUND(C33,1000)</f>
        <v>978000</v>
      </c>
      <c r="E33" s="116">
        <f>C33/Indsatsen!$E$5</f>
        <v>3775.830115830116</v>
      </c>
      <c r="F33" s="116">
        <f>F34*(1+B33)+H19</f>
        <v>647360.12728620856</v>
      </c>
      <c r="G33" s="116">
        <f>MROUND(F33,1000)</f>
        <v>647000</v>
      </c>
      <c r="H33" s="116">
        <f>F33/Indsatsen!$E$6</f>
        <v>7527.4433405373093</v>
      </c>
    </row>
    <row r="34" spans="2:8" ht="11.4" x14ac:dyDescent="0.2">
      <c r="B34" s="123">
        <v>0</v>
      </c>
      <c r="C34" s="117">
        <f>E21*(1+B34)</f>
        <v>1156800</v>
      </c>
      <c r="D34" s="118">
        <f>MROUND(C34,1000)</f>
        <v>1157000</v>
      </c>
      <c r="E34" s="118">
        <f>C34/Indsatsen!$E$5</f>
        <v>4466.4092664092668</v>
      </c>
      <c r="F34" s="117">
        <f>G21*(1+B34)</f>
        <v>809200</v>
      </c>
      <c r="G34" s="118">
        <f>MROUND(F34,1000)</f>
        <v>809000</v>
      </c>
      <c r="H34" s="118">
        <f>F34/Indsatsen!$E$6</f>
        <v>9409.3023255813951</v>
      </c>
    </row>
    <row r="35" spans="2:8" ht="11.4" x14ac:dyDescent="0.2">
      <c r="B35" s="122">
        <v>0.1</v>
      </c>
      <c r="C35" s="116">
        <f>C34*(1+B34)+E19</f>
        <v>1209300</v>
      </c>
      <c r="D35" s="116">
        <f>MROUND(C35,1000)</f>
        <v>1209000</v>
      </c>
      <c r="E35" s="116">
        <f>C35/Indsatsen!$E$5</f>
        <v>4669.1119691119693</v>
      </c>
      <c r="F35" s="116">
        <f>F34*(1+B35)+H19</f>
        <v>890120.12728620868</v>
      </c>
      <c r="G35" s="116">
        <f>MROUND(F35,1000)</f>
        <v>890000</v>
      </c>
      <c r="H35" s="116">
        <f>F35/Indsatsen!$E$6</f>
        <v>10350.234038211729</v>
      </c>
    </row>
    <row r="36" spans="2:8" ht="11.4" x14ac:dyDescent="0.2">
      <c r="B36" s="122">
        <v>0.2</v>
      </c>
      <c r="C36" s="116">
        <f>C34*(1+B36)+E19</f>
        <v>1440660</v>
      </c>
      <c r="D36" s="116">
        <f>MROUND(C36,1000)</f>
        <v>1441000</v>
      </c>
      <c r="E36" s="116">
        <f>C36/Indsatsen!$E$5</f>
        <v>5562.3938223938221</v>
      </c>
      <c r="F36" s="116">
        <f>F34*(1+B36)+H19</f>
        <v>971040.12728620856</v>
      </c>
      <c r="G36" s="116">
        <f>MROUND(F36,1000)</f>
        <v>971000</v>
      </c>
      <c r="H36" s="116">
        <f>F36/Indsatsen!$E$6</f>
        <v>11291.164270769867</v>
      </c>
    </row>
    <row r="37" spans="2:8" ht="11.4" x14ac:dyDescent="0.2">
      <c r="B37" s="124"/>
      <c r="C37" s="125"/>
      <c r="D37" s="125"/>
      <c r="E37" s="125"/>
      <c r="F37" s="125"/>
      <c r="G37" s="125"/>
      <c r="H37" s="125"/>
    </row>
    <row r="38" spans="2:8" ht="11.4" x14ac:dyDescent="0.2">
      <c r="B38" s="114"/>
      <c r="C38" s="161" t="s">
        <v>56</v>
      </c>
      <c r="D38" s="161"/>
      <c r="E38" s="161"/>
      <c r="F38" s="161" t="s">
        <v>55</v>
      </c>
      <c r="G38" s="161"/>
      <c r="H38" s="161"/>
    </row>
    <row r="39" spans="2:8" ht="11.4" x14ac:dyDescent="0.2">
      <c r="B39" s="62" t="s">
        <v>29</v>
      </c>
      <c r="C39" s="62" t="s">
        <v>34</v>
      </c>
      <c r="D39" s="62" t="s">
        <v>52</v>
      </c>
      <c r="E39" s="62" t="s">
        <v>60</v>
      </c>
      <c r="F39" s="62" t="s">
        <v>34</v>
      </c>
      <c r="G39" s="62" t="s">
        <v>52</v>
      </c>
      <c r="H39" s="62" t="s">
        <v>60</v>
      </c>
    </row>
    <row r="40" spans="2:8" ht="11.4" x14ac:dyDescent="0.2">
      <c r="B40" s="122">
        <v>-0.2</v>
      </c>
      <c r="C40" s="116">
        <f>$E$20+$E$19*(1+B40)</f>
        <v>1146300</v>
      </c>
      <c r="D40" s="116">
        <f>MROUND(C40,1000)</f>
        <v>1146000</v>
      </c>
      <c r="E40" s="116">
        <f>C40/Indsatsen!$E$5</f>
        <v>4425.868725868726</v>
      </c>
      <c r="F40" s="116">
        <f>$G$20+$G$19*(1+B40)</f>
        <v>788600</v>
      </c>
      <c r="G40" s="116">
        <f>MROUND(F40,1000)</f>
        <v>789000</v>
      </c>
      <c r="H40" s="116">
        <f>F40/Indsatsen!$E$6</f>
        <v>9169.7674418604656</v>
      </c>
    </row>
    <row r="41" spans="2:8" ht="11.4" x14ac:dyDescent="0.2">
      <c r="B41" s="123">
        <v>0</v>
      </c>
      <c r="C41" s="118">
        <f t="shared" ref="C41:C43" si="0">$E$20+$E$19*(1+B41)</f>
        <v>1156800</v>
      </c>
      <c r="D41" s="118">
        <f>MROUND(C41,1000)</f>
        <v>1157000</v>
      </c>
      <c r="E41" s="118">
        <f>C41/Indsatsen!$E$5</f>
        <v>4466.4092664092668</v>
      </c>
      <c r="F41" s="118">
        <f t="shared" ref="F41:F43" si="1">$G$20+$G$19*(1+B41)</f>
        <v>809200</v>
      </c>
      <c r="G41" s="118">
        <f>MROUND(F41,1000)</f>
        <v>809000</v>
      </c>
      <c r="H41" s="118">
        <f>F41/Indsatsen!$E$6</f>
        <v>9409.3023255813951</v>
      </c>
    </row>
    <row r="42" spans="2:8" ht="11.4" x14ac:dyDescent="0.2">
      <c r="B42" s="122">
        <v>0.1</v>
      </c>
      <c r="C42" s="116">
        <f t="shared" si="0"/>
        <v>1162050</v>
      </c>
      <c r="D42" s="116">
        <f>MROUND(C42,1000)</f>
        <v>1162000</v>
      </c>
      <c r="E42" s="116">
        <f>C42/Indsatsen!$E$5</f>
        <v>4486.6795366795368</v>
      </c>
      <c r="F42" s="116">
        <f t="shared" si="1"/>
        <v>819500</v>
      </c>
      <c r="G42" s="116">
        <f>MROUND(F42,1000)</f>
        <v>820000</v>
      </c>
      <c r="H42" s="116">
        <f>F42/Indsatsen!$E$6</f>
        <v>9529.0697674418607</v>
      </c>
    </row>
    <row r="43" spans="2:8" ht="11.4" x14ac:dyDescent="0.2">
      <c r="B43" s="122">
        <v>0.2</v>
      </c>
      <c r="C43" s="116">
        <f t="shared" si="0"/>
        <v>1167300</v>
      </c>
      <c r="D43" s="116">
        <f>MROUND(C43,1000)</f>
        <v>1167000</v>
      </c>
      <c r="E43" s="116">
        <f>C43/Indsatsen!$E$5</f>
        <v>4506.9498069498068</v>
      </c>
      <c r="F43" s="116">
        <f t="shared" si="1"/>
        <v>829800</v>
      </c>
      <c r="G43" s="116">
        <f>MROUND(F43,1000)</f>
        <v>830000</v>
      </c>
      <c r="H43" s="116">
        <f>F43/Indsatsen!$E$6</f>
        <v>9648.8372093023263</v>
      </c>
    </row>
    <row r="44" spans="2:8" ht="11.4" x14ac:dyDescent="0.2">
      <c r="B44" s="124"/>
      <c r="C44" s="125"/>
      <c r="D44" s="125"/>
      <c r="E44" s="125"/>
      <c r="F44" s="125"/>
      <c r="G44" s="125"/>
      <c r="H44" s="125"/>
    </row>
    <row r="45" spans="2:8" ht="11.4" x14ac:dyDescent="0.2">
      <c r="C45" s="161" t="s">
        <v>56</v>
      </c>
      <c r="D45" s="161"/>
      <c r="E45" s="161"/>
      <c r="F45" s="161" t="s">
        <v>55</v>
      </c>
      <c r="G45" s="161"/>
      <c r="H45" s="161"/>
    </row>
    <row r="46" spans="2:8" ht="11.4" x14ac:dyDescent="0.2">
      <c r="B46" s="62" t="s">
        <v>58</v>
      </c>
      <c r="C46" s="62" t="s">
        <v>34</v>
      </c>
      <c r="D46" s="62" t="s">
        <v>52</v>
      </c>
      <c r="E46" s="62" t="s">
        <v>60</v>
      </c>
      <c r="F46" s="62" t="s">
        <v>34</v>
      </c>
      <c r="G46" s="62" t="s">
        <v>52</v>
      </c>
      <c r="H46" s="62" t="s">
        <v>60</v>
      </c>
    </row>
    <row r="47" spans="2:8" ht="11.4" x14ac:dyDescent="0.2">
      <c r="B47" s="122" t="str">
        <f>C52&amp;" Rådgivningsforløb og "&amp;C53&amp;" Indsatsforløb"</f>
        <v>200 Rådgivningsforløb og 50 Indsatsforløb</v>
      </c>
      <c r="C47" s="116">
        <f>$E$21</f>
        <v>1156800</v>
      </c>
      <c r="D47" s="116">
        <f>MROUND(C47,1000)</f>
        <v>1157000</v>
      </c>
      <c r="E47" s="116">
        <f>C47/C52</f>
        <v>5784</v>
      </c>
      <c r="F47" s="116">
        <f>$G$21</f>
        <v>809200</v>
      </c>
      <c r="G47" s="116">
        <f>MROUND(F47,1000)</f>
        <v>809000</v>
      </c>
      <c r="H47" s="116">
        <f>F47/C53</f>
        <v>16184</v>
      </c>
    </row>
    <row r="48" spans="2:8" ht="11.4" x14ac:dyDescent="0.2">
      <c r="B48" s="150" t="str">
        <f>Indsatsen!E5&amp;" Rådgivningsforløb og "&amp;Indsatsen!E6&amp;" Indsatsforløb"</f>
        <v>259 Rådgivningsforløb og 86 Indsatsforløb</v>
      </c>
      <c r="C48" s="118">
        <f t="shared" ref="C48:C49" si="2">$E$21</f>
        <v>1156800</v>
      </c>
      <c r="D48" s="127">
        <f>MROUND(C48,1000)</f>
        <v>1157000</v>
      </c>
      <c r="E48" s="118">
        <f>C48/Indsatsen!E5</f>
        <v>4466.4092664092668</v>
      </c>
      <c r="F48" s="118">
        <f t="shared" ref="F48:F49" si="3">$G$21</f>
        <v>809200</v>
      </c>
      <c r="G48" s="127">
        <f>MROUND(F48,1000)</f>
        <v>809000</v>
      </c>
      <c r="H48" s="118">
        <f>F48/Indsatsen!E6</f>
        <v>9409.3023255813951</v>
      </c>
    </row>
    <row r="49" spans="2:8" ht="11.4" x14ac:dyDescent="0.2">
      <c r="B49" s="122" t="str">
        <f>C54&amp;" Rådgivningsforløb og "&amp;C55&amp;" Indsatsforløb"</f>
        <v>300 Rådgivningsforløb og 100 Indsatsforløb</v>
      </c>
      <c r="C49" s="116">
        <f t="shared" si="2"/>
        <v>1156800</v>
      </c>
      <c r="D49" s="116">
        <f>MROUND(C49,1000)</f>
        <v>1157000</v>
      </c>
      <c r="E49" s="116">
        <f>C49/C54</f>
        <v>3856</v>
      </c>
      <c r="F49" s="116">
        <f t="shared" si="3"/>
        <v>809200</v>
      </c>
      <c r="G49" s="116">
        <f>MROUND(F49,1000)</f>
        <v>809000</v>
      </c>
      <c r="H49" s="116">
        <f>F49/C55</f>
        <v>8092</v>
      </c>
    </row>
    <row r="50" spans="2:8" ht="11.4" x14ac:dyDescent="0.2">
      <c r="B50" s="152"/>
      <c r="C50" s="126"/>
      <c r="D50" s="126"/>
      <c r="E50" s="126"/>
      <c r="F50" s="126"/>
      <c r="G50" s="126"/>
      <c r="H50" s="126"/>
    </row>
    <row r="51" spans="2:8" ht="11.4" x14ac:dyDescent="0.2">
      <c r="B51" s="120"/>
      <c r="C51" s="126"/>
      <c r="D51" s="126"/>
      <c r="E51" s="126"/>
      <c r="F51" s="126"/>
      <c r="G51" s="126"/>
      <c r="H51" s="126"/>
    </row>
    <row r="52" spans="2:8" ht="11.4" x14ac:dyDescent="0.2">
      <c r="B52" s="120" t="s">
        <v>77</v>
      </c>
      <c r="C52" s="151">
        <v>200</v>
      </c>
      <c r="D52" s="126"/>
      <c r="E52" s="126"/>
      <c r="F52" s="126"/>
      <c r="G52" s="126"/>
      <c r="H52" s="126"/>
    </row>
    <row r="53" spans="2:8" ht="11.4" x14ac:dyDescent="0.2">
      <c r="B53" s="15" t="s">
        <v>78</v>
      </c>
      <c r="C53" s="15">
        <v>50</v>
      </c>
      <c r="E53" s="76"/>
      <c r="F53" s="115"/>
      <c r="G53" s="115"/>
      <c r="H53" s="76"/>
    </row>
    <row r="54" spans="2:8" ht="11.4" x14ac:dyDescent="0.2">
      <c r="B54" s="15" t="s">
        <v>79</v>
      </c>
      <c r="C54" s="15">
        <v>300</v>
      </c>
      <c r="E54" s="129"/>
      <c r="F54" s="162"/>
      <c r="G54" s="162"/>
      <c r="H54" s="162"/>
    </row>
    <row r="55" spans="2:8" ht="11.4" x14ac:dyDescent="0.2">
      <c r="B55" s="15" t="s">
        <v>80</v>
      </c>
      <c r="C55" s="15">
        <v>100</v>
      </c>
      <c r="E55" s="157"/>
      <c r="F55" s="120"/>
      <c r="G55" s="120"/>
      <c r="H55" s="120"/>
    </row>
    <row r="56" spans="2:8" ht="11.4" x14ac:dyDescent="0.2">
      <c r="E56" s="126"/>
      <c r="F56" s="126"/>
      <c r="G56" s="126"/>
      <c r="H56" s="126"/>
    </row>
    <row r="57" spans="2:8" ht="11.4" x14ac:dyDescent="0.2">
      <c r="B57" s="128" t="s">
        <v>35</v>
      </c>
      <c r="C57" s="115"/>
      <c r="D57" s="115"/>
      <c r="E57" s="126"/>
      <c r="F57" s="126"/>
      <c r="G57" s="126"/>
      <c r="H57" s="126"/>
    </row>
    <row r="58" spans="2:8" ht="11.4" x14ac:dyDescent="0.2">
      <c r="B58" s="114"/>
      <c r="C58" s="129"/>
      <c r="D58" s="129"/>
      <c r="E58" s="126"/>
      <c r="F58" s="126"/>
      <c r="G58" s="126"/>
      <c r="H58" s="126"/>
    </row>
    <row r="59" spans="2:8" ht="11.4" x14ac:dyDescent="0.2">
      <c r="B59" s="62" t="s">
        <v>53</v>
      </c>
      <c r="C59" s="62" t="s">
        <v>53</v>
      </c>
      <c r="D59" s="62" t="s">
        <v>59</v>
      </c>
      <c r="E59" s="126"/>
      <c r="F59" s="126"/>
      <c r="G59" s="126"/>
      <c r="H59" s="126"/>
    </row>
    <row r="60" spans="2:8" ht="11.4" x14ac:dyDescent="0.2">
      <c r="B60" s="122">
        <v>-0.2</v>
      </c>
      <c r="C60" s="116">
        <f>E13*(1+B60)</f>
        <v>101680</v>
      </c>
      <c r="D60" s="116">
        <f>MROUND(C60,1000)</f>
        <v>102000</v>
      </c>
      <c r="E60" s="115"/>
      <c r="F60" s="76"/>
      <c r="G60" s="80"/>
    </row>
    <row r="61" spans="2:8" ht="11.4" x14ac:dyDescent="0.2">
      <c r="B61" s="123">
        <v>0</v>
      </c>
      <c r="C61" s="118">
        <f>E13*(1+B61)</f>
        <v>127100</v>
      </c>
      <c r="D61" s="118">
        <f>MROUND(C61,1000)</f>
        <v>127000</v>
      </c>
    </row>
    <row r="62" spans="2:8" ht="11.4" x14ac:dyDescent="0.2">
      <c r="B62" s="122">
        <v>0.1</v>
      </c>
      <c r="C62" s="116">
        <f>E13*(1+B62)</f>
        <v>139810</v>
      </c>
      <c r="D62" s="116">
        <f>MROUND(C62,1000)</f>
        <v>140000</v>
      </c>
    </row>
    <row r="63" spans="2:8" ht="11.4" x14ac:dyDescent="0.2">
      <c r="B63" s="122">
        <v>0.2</v>
      </c>
      <c r="C63" s="116">
        <f>E13*(1+B63)</f>
        <v>152520</v>
      </c>
      <c r="D63" s="116">
        <f>MROUND(C63,1000)</f>
        <v>153000</v>
      </c>
    </row>
    <row r="64" spans="2:8" ht="11.4" x14ac:dyDescent="0.2"/>
    <row r="65" ht="12" customHeight="1" x14ac:dyDescent="0.2"/>
    <row r="66" ht="11.4" hidden="1" x14ac:dyDescent="0.2"/>
    <row r="67" ht="11.4" hidden="1" x14ac:dyDescent="0.2"/>
    <row r="68" ht="11.4" hidden="1" x14ac:dyDescent="0.2"/>
    <row r="69" ht="11.4" hidden="1" x14ac:dyDescent="0.2"/>
    <row r="70" ht="11.4" hidden="1" x14ac:dyDescent="0.2"/>
    <row r="71" ht="11.4" hidden="1" x14ac:dyDescent="0.2"/>
    <row r="72" ht="11.4" hidden="1" x14ac:dyDescent="0.2"/>
    <row r="73" ht="11.4" hidden="1" x14ac:dyDescent="0.2"/>
    <row r="74" ht="11.4" hidden="1" x14ac:dyDescent="0.2"/>
    <row r="75" ht="11.4" hidden="1" x14ac:dyDescent="0.2"/>
    <row r="76" ht="11.4" hidden="1" x14ac:dyDescent="0.2"/>
    <row r="77" ht="11.4" hidden="1" x14ac:dyDescent="0.2"/>
    <row r="113" spans="2:12" ht="11.4" hidden="1" x14ac:dyDescent="0.2"/>
    <row r="114" spans="2:12" ht="11.4" hidden="1" x14ac:dyDescent="0.2"/>
    <row r="115" spans="2:12" ht="11.4" hidden="1" x14ac:dyDescent="0.2"/>
    <row r="116" spans="2:12" ht="11.4" hidden="1" x14ac:dyDescent="0.2"/>
    <row r="117" spans="2:12" ht="11.25" hidden="1" customHeight="1" x14ac:dyDescent="0.2">
      <c r="B117" s="153"/>
      <c r="E117" s="163"/>
      <c r="F117" s="163"/>
      <c r="G117" s="163"/>
      <c r="J117" s="163"/>
      <c r="K117" s="163"/>
      <c r="L117" s="163"/>
    </row>
    <row r="118" spans="2:12" ht="11.25" hidden="1" customHeight="1" x14ac:dyDescent="0.2">
      <c r="B118" s="148"/>
      <c r="F118" s="148"/>
      <c r="G118" s="148"/>
      <c r="K118" s="148"/>
      <c r="L118" s="148"/>
    </row>
    <row r="119" spans="2:12" ht="11.25" hidden="1" customHeight="1" x14ac:dyDescent="0.2">
      <c r="B119" s="149"/>
      <c r="E119" s="149"/>
      <c r="F119" s="149"/>
      <c r="G119" s="149"/>
      <c r="J119" s="149"/>
      <c r="K119" s="149"/>
      <c r="L119" s="149"/>
    </row>
    <row r="120" spans="2:12" ht="11.25" hidden="1" customHeight="1" x14ac:dyDescent="0.2">
      <c r="B120" s="149"/>
      <c r="E120" s="149"/>
      <c r="F120" s="149"/>
      <c r="G120" s="149"/>
      <c r="J120" s="149"/>
      <c r="K120" s="149"/>
      <c r="L120" s="149"/>
    </row>
    <row r="121" spans="2:12" ht="11.25" hidden="1" customHeight="1" x14ac:dyDescent="0.2">
      <c r="B121" s="149"/>
      <c r="E121" s="149"/>
      <c r="F121" s="149"/>
      <c r="G121" s="149"/>
      <c r="J121" s="149"/>
      <c r="K121" s="149"/>
      <c r="L121" s="149"/>
    </row>
    <row r="122" spans="2:12" ht="11.4" hidden="1" x14ac:dyDescent="0.2"/>
    <row r="123" spans="2:12" ht="11.4" hidden="1" x14ac:dyDescent="0.2">
      <c r="B123" s="153"/>
      <c r="E123" s="163"/>
      <c r="F123" s="163"/>
      <c r="G123" s="163"/>
      <c r="J123" s="163"/>
      <c r="K123" s="163"/>
      <c r="L123" s="163"/>
    </row>
    <row r="124" spans="2:12" ht="11.25" hidden="1" customHeight="1" x14ac:dyDescent="0.2">
      <c r="B124" s="148"/>
      <c r="F124" s="148"/>
      <c r="G124" s="148"/>
      <c r="K124" s="148"/>
      <c r="L124" s="148"/>
    </row>
    <row r="125" spans="2:12" ht="11.25" hidden="1" customHeight="1" x14ac:dyDescent="0.2">
      <c r="B125" s="149"/>
      <c r="E125" s="149"/>
      <c r="F125" s="149"/>
      <c r="G125" s="149"/>
      <c r="J125" s="149"/>
      <c r="K125" s="149"/>
      <c r="L125" s="149"/>
    </row>
    <row r="126" spans="2:12" ht="11.25" hidden="1" customHeight="1" x14ac:dyDescent="0.2">
      <c r="E126" s="149"/>
      <c r="F126" s="149"/>
      <c r="G126" s="149"/>
    </row>
    <row r="127" spans="2:12" ht="11.25" hidden="1" customHeight="1" x14ac:dyDescent="0.2">
      <c r="E127" s="149"/>
      <c r="F127" s="149"/>
      <c r="G127" s="149"/>
    </row>
    <row r="128" spans="2:12" ht="11.25" hidden="1" customHeight="1" x14ac:dyDescent="0.2"/>
    <row r="129" ht="11.4" hidden="1" x14ac:dyDescent="0.2"/>
    <row r="130" ht="11.4" hidden="1" x14ac:dyDescent="0.2"/>
    <row r="131" ht="11.4" hidden="1" x14ac:dyDescent="0.2"/>
  </sheetData>
  <mergeCells count="11">
    <mergeCell ref="F54:H54"/>
    <mergeCell ref="E117:G117"/>
    <mergeCell ref="J117:L117"/>
    <mergeCell ref="E123:G123"/>
    <mergeCell ref="J123:L123"/>
    <mergeCell ref="C31:E31"/>
    <mergeCell ref="F31:H31"/>
    <mergeCell ref="C38:E38"/>
    <mergeCell ref="F38:H38"/>
    <mergeCell ref="C45:E45"/>
    <mergeCell ref="F45:H4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006b79-6468-4f3d-9dbb-44fb8b7ab6a2">
      <UserInfo>
        <DisplayName>Clara Holmskov Hansen</DisplayName>
        <AccountId>30</AccountId>
        <AccountType/>
      </UserInfo>
      <UserInfo>
        <DisplayName>Katrine Rusmann</DisplayName>
        <AccountId>11</AccountId>
        <AccountType/>
      </UserInfo>
      <UserInfo>
        <DisplayName>Pernille Højgård Thøgersen</DisplayName>
        <AccountId>20</AccountId>
        <AccountType/>
      </UserInfo>
    </SharedWithUsers>
    <TaxCatchAll xmlns="61006b79-6468-4f3d-9dbb-44fb8b7ab6a2" xsi:nil="true"/>
    <lcf76f155ced4ddcb4097134ff3c332f xmlns="7eb2da56-308c-4999-ba52-86a35cc8dad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B65CF2A8A53499F6019AB18A7722C" ma:contentTypeVersion="14" ma:contentTypeDescription="Create a new document." ma:contentTypeScope="" ma:versionID="fad6e2246644fd901b688bc91414d262">
  <xsd:schema xmlns:xsd="http://www.w3.org/2001/XMLSchema" xmlns:xs="http://www.w3.org/2001/XMLSchema" xmlns:p="http://schemas.microsoft.com/office/2006/metadata/properties" xmlns:ns2="7eb2da56-308c-4999-ba52-86a35cc8dad5" xmlns:ns3="61006b79-6468-4f3d-9dbb-44fb8b7ab6a2" targetNamespace="http://schemas.microsoft.com/office/2006/metadata/properties" ma:root="true" ma:fieldsID="aeaf39cdb917d9fb53d7de856e710e4c" ns2:_="" ns3:_="">
    <xsd:import namespace="7eb2da56-308c-4999-ba52-86a35cc8dad5"/>
    <xsd:import namespace="61006b79-6468-4f3d-9dbb-44fb8b7ab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2da56-308c-4999-ba52-86a35cc8d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0716b9-ea6c-4544-a4bd-65ac324c6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06b79-6468-4f3d-9dbb-44fb8b7ab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e7b6210-8a91-4095-9e92-966795649773}" ma:internalName="TaxCatchAll" ma:showField="CatchAllData" ma:web="61006b79-6468-4f3d-9dbb-44fb8b7ab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A0310-01C1-4CBD-872C-41599F3326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D75B6-40DE-4B83-9C8F-86FD4A97672E}">
  <ds:schemaRefs>
    <ds:schemaRef ds:uri="http://purl.org/dc/terms/"/>
    <ds:schemaRef ds:uri="7eb2da56-308c-4999-ba52-86a35cc8dad5"/>
    <ds:schemaRef ds:uri="http://purl.org/dc/elements/1.1/"/>
    <ds:schemaRef ds:uri="http://schemas.microsoft.com/office/infopath/2007/PartnerControls"/>
    <ds:schemaRef ds:uri="61006b79-6468-4f3d-9dbb-44fb8b7ab6a2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87A09C-5A4A-4631-A988-58316E882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2da56-308c-4999-ba52-86a35cc8dad5"/>
    <ds:schemaRef ds:uri="61006b79-6468-4f3d-9dbb-44fb8b7ab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Indsatsen</vt:lpstr>
      <vt:lpstr>Generelle antagelser</vt:lpstr>
      <vt:lpstr>Input</vt:lpstr>
      <vt:lpstr>Resultater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Højgård Thøgersen</dc:creator>
  <cp:keywords/>
  <dc:description/>
  <cp:lastModifiedBy>Esben Bjørn Christensen</cp:lastModifiedBy>
  <cp:revision/>
  <dcterms:created xsi:type="dcterms:W3CDTF">2022-07-05T07:25:25Z</dcterms:created>
  <dcterms:modified xsi:type="dcterms:W3CDTF">2023-07-03T11:19:44Z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0x01010017AB65CF2A8A53499F6019AB18A7722C</vt:lpwstr>
  </property>
  <property fmtid="{D5CDD505-2E9C-101B-9397-08002B2CF9AE}" pid="3" name="MediaServiceImageTags">
    <vt:lpwstr/>
  </property>
</Properties>
</file>